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4065" windowHeight="7455" activeTab="0"/>
  </bookViews>
  <sheets>
    <sheet name="Muuttuvat kustannukset" sheetId="1" r:id="rId1"/>
    <sheet name="B-alue" sheetId="2" r:id="rId2"/>
  </sheets>
  <externalReferences>
    <externalReference r:id="rId5"/>
    <externalReference r:id="rId6"/>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<sst xmlns="http://schemas.openxmlformats.org/spreadsheetml/2006/main" count="914" uniqueCount="202">
  <si>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</si>
  <si>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</si>
  <si>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</si>
  <si>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</si>
  <si>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</si>
  <si>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</si>
  <si>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</si>
  <si>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</si>
  <si>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</si>
  <si>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</si>
  <si>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</si>
  <si>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</si>
  <si>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</si>
  <si>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</si>
  <si>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</si>
  <si>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</si>
  <si>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</si>
  <si>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</si>
  <si>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</si>
  <si>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</si>
  <si>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</si>
  <si>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</si>
  <si>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</si>
  <si>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</si>
  <si>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</si>
  <si>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</si>
  <si>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</si>
  <si>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</si>
  <si>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</si>
  <si>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</si>
  <si>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</si>
  <si>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</si>
  <si>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</si>
  <si>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</si>
  <si>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</si>
  <si>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</si>
  <si>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</si>
  <si>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</si>
  <si>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</si>
  <si>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</si>
  <si>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</si>
  <si>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</si>
  <si>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</si>
  <si>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</si>
  <si>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</si>
  <si>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</si>
  <si>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</si>
  <si>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</si>
  <si>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</si>
  <si>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</si>
  <si>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</si>
  <si>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</si>
  <si>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</si>
  <si>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</si>
  <si>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</si>
  <si>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</si>
  <si>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</si>
  <si>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</si>
  <si>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</si>
  <si>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</si>
  <si>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</si>
  <si>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</si>
  <si>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</si>
  <si>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</si>
  <si>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</si>
  <si>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</si>
  <si>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</si>
  <si>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</si>
  <si>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</si>
  <si>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</si>
  <si>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</si>
  <si>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</si>
  <si>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</si>
  <si>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</si>
  <si>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</si>
  <si>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</si>
  <si>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</si>
  <si>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</si>
  <si>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</si>
  <si>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</si>
  <si>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</si>
  <si>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</si>
  <si>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</si>
  <si>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</si>
  <si>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</si>
  <si>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</si>
  <si>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</si>
  <si>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</si>
  <si>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</si>
  <si>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</si>
  <si>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</si>
  <si>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</si>
  <si>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</si>
  <si>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</si>
  <si>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</si>
  <si>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</si>
  <si>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</si>
  <si>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</si>
  <si>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</si>
  <si>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</si>
  <si>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</si>
  <si>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</si>
  <si>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</si>
  <si>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</si>
  <si>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</si>
  <si>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</si>
  <si>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</si>
  <si>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</si>
  <si>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</si>
  <si>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</si>
  <si>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</si>
  <si>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</si>
  <si>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</si>
  <si>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</si>
  <si>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</si>
  <si>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</si>
  <si>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</si>
  <si>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</si>
  <si>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</si>
  <si>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</si>
  <si>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</si>
  <si>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</si>
  <si>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</si>
  <si>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Nurmi ja muut rehukasvit / kasvitila</t>
  </si>
  <si>
    <t>Energiakasvit / kasvitila</t>
  </si>
  <si>
    <t>Viherlannoitusnurmi / kasvitila</t>
  </si>
  <si>
    <t>Rehuvilja, nurmi ja muut rehukasvit / kotiel.tila</t>
  </si>
  <si>
    <t>Avomaavihannekset / kasvitila</t>
  </si>
  <si>
    <t>Koriste- ja lääkekasvit / kasvitila</t>
  </si>
  <si>
    <t>Maustekasvit / kasvitila</t>
  </si>
  <si>
    <t>Marjat / kasvitila</t>
  </si>
  <si>
    <t>Luomutuki 2007-</t>
  </si>
  <si>
    <t>Kans. 5)</t>
  </si>
  <si>
    <t xml:space="preserve">  Siemen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</si>
  <si>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</si>
  <si>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</si>
  <si>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</si>
  <si>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</si>
  <si>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</si>
  <si>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</si>
  <si>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</si>
  <si>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</si>
  <si>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 xml:space="preserve">Yllä olevalla laskelmalla voidaan laskea tilakohtaiset muuttuvat kustannukset. Mallina on käytetty proagria Maaseutukeskusten Liiton julkaisemaa: Mallilaskelmia maataloudesta tai </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</si>
  <si>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</si>
  <si>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</si>
  <si>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</si>
  <si>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</si>
  <si>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</si>
  <si>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</si>
  <si>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</si>
  <si>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</si>
  <si>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</si>
  <si>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</si>
  <si>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</si>
  <si>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</si>
  <si>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</si>
  <si>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</si>
  <si>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</si>
  <si>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</si>
  <si>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</si>
  <si>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</si>
  <si>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</si>
  <si>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Jos lisäät tai muutat kasveja laskelmapohjassa</t>
    </r>
    <r>
      <rPr>
        <sz val="16"/>
        <color indexed="8"/>
        <rFont val="Calibri"/>
        <family val="2"/>
      </rPr>
      <t>, niin tarkista ja tee tarvittavat linkitykset soluihin</t>
    </r>
  </si>
  <si>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</si>
  <si>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t>Sv2</t>
  </si>
  <si>
    <t>Yara Y1</t>
  </si>
  <si>
    <t>EU-tuot.tuet 2)</t>
  </si>
  <si>
    <t>Ymp. per.toim.piteet 4)</t>
  </si>
  <si>
    <t>Ymp. lisä-toimen-piteet 4)</t>
  </si>
  <si>
    <t>Sokerijuurikas (sop. 35 tn/ha) / kasvitila  6)</t>
  </si>
  <si>
    <t>4) Peltokasvien osalta ympäristötuki perustoimenpiteistä on kasvinviljelytilan peltokasveilla 93 euroa/ha, kotieläintilan peltokasveilla 107 euroa/ha, kasvipeitteisellä kesannolla 39 euroa/ha sekä ryhmä 1:n puutarhakasveilla 450 euroa/ha, ryhmä 2:n puutarhakasveilla 438 euroa/ha ja siemenmausteilla 181 euroa/ha. Lisätoimenpiteitä pitää valita A- ja B-alueella 1 - 4 kpl. Lisätoimenpidevaihtoehtoja ovat vähennetty lannoitus 10 e/ha, typpilannoituksen tarkentaminen peltokasveilla 23 e/ha, talviaikainen kasvipeite ja kevennetty muokkaus 11 e/ha, lannan levitys kasvukaudella 27 e/ha, ravinnetasetoimenpide 18 e/ha sekä peltokasvien talviaikainen kasvipeitteisyys 30 e/ha, peltojen tehostettu talviaikainen kasvipeitteisyys 45 e/ha, viljelyn monipuolistaminen 24 e/ha, laajaperäinen nurmituotanto 55 e/ha ja kerääjäkasvien viljely 13 e/ha.</t>
  </si>
  <si>
    <t xml:space="preserve">Puutarhatilalla lisätoimenpiteitä on valittavissa A- ja B-alueella 0 - 4 kpl, joista enintään kaksi on puutarhakasvien lisätoimenpiteitä. Puutarhakasvien lisätoimenpidevaihtoehtoja ovat typpilannoituksen tarkentaminen puutarhakasveilla 90 e/ha, katteen käyttö monivuotisilla puutarhakasveilla 256 e/ha ja tuhoeläinten seurantamenetelmien käyttö 144 e/ha. Ryhmä 1:n (yksivuotisilla) puutarhakasveilla ympäristötuen tukikatto on 600 euroa/ha, joten lisätoimenpiteistä voi saada korkeintaan 150 euroa/ha. Ryhmä 2:n (monivuotisilla) puutarhakasveilla ympäristötuen tukikatto on 900 euroa/ha, joten lisätoimenpiteistä voi saada korkeintaan 462 euroa/ha. </t>
  </si>
  <si>
    <t>Taulukossa lisätoimenpide-esimerkkeinä on otettu huomioon: Kasvitiloilla typpilannoituksen tarkentaminen peltokasveilla 23 e/ha + talviaikainen kasvipeite ja kevennetty muokkaus 11 e/ha = 34 e/ha. Kotieläintiloilla peltojen tehostettu talviaikainen kasvipeitteisyys 45 e/ha + typpilannoituksen tarkentaminen peltokasveilla 23 e/ha = 68 e/ha. Avomaavihanneksilla ja koriste- ja lääkekasveilla tuhoeläinten seurantamenetelmien käyttö 144 e/ha (tukikaton takia lisätoimenpiteistä korkeintaan 150 e/ha). Siemenmausteilla tuhoeläinten seurantamenetelmien käyttö 144 e/ha + peltojen tehostettu talviaikainen kasvipeitteisyys 45 e/ha + viljelyn monipuolistaminen 24 e/ha = 213 e/ha. Marjoilla, omenalla ja muilla hedelmillä katteen käyttö monivuotisilla puutarhakasveilla 256 e/ha + tuhoeläinten seurantamenetelmien käyttö 144 e/ha = 400 e/ha.</t>
  </si>
  <si>
    <t>Sv1</t>
  </si>
  <si>
    <t>Nurmen Y1</t>
  </si>
  <si>
    <t>Pellon Y5</t>
  </si>
  <si>
    <t>Rehuherne</t>
  </si>
  <si>
    <t>Viherlannoitusnurmi 2v</t>
  </si>
  <si>
    <t>Mallasohra</t>
  </si>
  <si>
    <t>Luomutarkastusmaksun enimmäismäärä 800 euroa/vuosi, kun summa ylittyy(93 ha), niin muuttuvista kustannuksista tark.maksu nollataan ja perusmaksukohtaan merkitään 800 €/v</t>
  </si>
  <si>
    <t>Taulukko 1B. Vuoden 2013 pinta-alaperusteiset tuet B-alueella (euroa/ha)</t>
  </si>
  <si>
    <t>Hedelmät / kasvitila</t>
  </si>
  <si>
    <t>Luonnonhoitopelto, monimuotoisuuspelto 7)</t>
  </si>
  <si>
    <t>Luonnonhoitopelto, monivuotinen nurmi 7)</t>
  </si>
  <si>
    <t>Muu LFA-tuellinen hoidettu viljelemätön 7)</t>
  </si>
  <si>
    <t>Muu LFA-tueton hoidettu viljelemätön 7)</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</si>
  <si>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B-alueella (50 ha/tila x 201,00 euroa/ha = 10 050 euroa/tila). Tukimodulaatio ja tukileikkaus 10 % x (10 050 euroa/tila - 5 000 euroa/tila) + 2,453658 % x (10 050 euroa/tila - 2 000 euroa/tila) = 702,52 euroa/tila. Maksettava tuki 10 050 euroa/tila - 702,52 euroa/tila = 9347,48 euroa/tila = 186,95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</si>
  <si>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tässä taulukossa 12,453658 %. Valkuais- ja öljykasvipalkkio 91,50 e/ha - tukileikkaukset 12,453658 % = 80,10 e/ha. Tärkkelysperunapalkkio 560 e/ha - tukileikkaukset 12,453658 % = 490,26 e/ha (valtioneuvoston asetus 823/2013).A2</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</si>
  <si>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</si>
  <si>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</si>
  <si>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Kansalliset tuen sarakkeessa ovat Etelä-Suomen erikoiskasvituki (avomaavihannekset, tärkkelysperuna), kotieläintilan hehtaarituki ja sokerijuurikkaan kansallinen tuki. Kotieläintan hehtaarituki maksetaan enintään vuoden 2007 LFA-tukialaa vastaavalta alalta (valtioneuvoston asetukset 18/2013 ja 21/2013).</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</si>
  <si>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</si>
  <si>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7) Luonnonhoitopelloille ja kesannoille maksetaan LFA-tuki, jos niiden ala on yhteensä enintään 50 % kokonaisalasta.</t>
  </si>
  <si>
    <t>© ProAgria Keskusten Liitto 2.1.2014</t>
  </si>
  <si>
    <t xml:space="preserve">   YaraMila Pellon  Y1</t>
  </si>
  <si>
    <t xml:space="preserve">Suomensalpietari  </t>
  </si>
  <si>
    <t>YaraMila Pellon Y 5</t>
  </si>
  <si>
    <t xml:space="preserve">YaraMila  Pellon Y 2   </t>
  </si>
  <si>
    <t>Arvo</t>
  </si>
  <si>
    <t xml:space="preserve"> Kasvinsuojelu rikat</t>
  </si>
  <si>
    <t xml:space="preserve"> Kasvinsuojelu taudit</t>
  </si>
  <si>
    <t>Laskelma  luomuun siirtymisestä B-alue 06.02.2014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</si>
</sst>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8">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b/>
      <sz val="10"/>
      <color indexed="8"/>
      <name val="Arial"/>
      <family val="2"/>
    </font>
    <font>
      <b/>
      <sz val="11"/>
      <color indexed="8"/>
      <name val="Calibri"/>
      <family val="2"/>
    </font>
    <font>
      <b/>
      <sz val="18"/>
      <color indexed="8"/>
      <name val="Calibri"/>
      <family val="2"/>
    </font>
    <font>
      <sz val="10"/>
      <name val="Calibri"/>
      <family val="2"/>
    </font>
    <font>
      <b/>
      <sz val="12"/>
      <name val="Calibri"/>
      <family val="2"/>
    </font>
    <font>
      <sz val="14"/>
      <name val="Calibri"/>
      <family val="2"/>
    </font>
    <font>
      <b/>
      <sz val="16"/>
      <name val="Calibri"/>
      <family val="2"/>
    </font>
    <font>
      <sz val="10"/>
      <color indexed="8"/>
      <name val="Calibri"/>
      <family val="2"/>
    </font>
    <font>
      <b/>
      <sz val="11"/>
      <color indexed="60"/>
      <name val="Arial"/>
      <family val="2"/>
    </font>
    <font>
      <sz val="11"/>
      <name val="Calibri"/>
      <family val="2"/>
    </font>
    <font>
      <sz val="11"/>
      <color indexed="10"/>
      <name val="Arial"/>
      <family val="2"/>
    </font>
    <font>
      <b/>
      <sz val="14"/>
      <name val="Calibri"/>
      <family val="2"/>
    </font>
    <font>
      <b/>
      <sz val="20"/>
      <color indexed="8"/>
      <name val="Calibri"/>
      <family val="2"/>
    </font>
    <font>
      <b/>
      <sz val="22"/>
      <name val="Calibri"/>
      <family val="2"/>
    </font>
    <font>
      <sz val="10"/>
      <color indexed="10"/>
      <name val="Arial"/>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b/>
      <sz val="10"/>
      <color theme="1"/>
      <name val="Arial"/>
      <family val="2"/>
    </font>
    <font>
      <b/>
      <sz val="11"/>
      <color theme="1"/>
      <name val="Calibri"/>
      <family val="2"/>
    </font>
    <font>
      <b/>
      <sz val="18"/>
      <color theme="1"/>
      <name val="Calibri"/>
      <family val="2"/>
    </font>
    <font>
      <b/>
      <sz val="16"/>
      <color theme="1"/>
      <name val="Calibri"/>
      <family val="2"/>
    </font>
    <font>
      <sz val="10"/>
      <color theme="1"/>
      <name val="Calibri"/>
      <family val="2"/>
    </font>
    <font>
      <b/>
      <sz val="11"/>
      <color rgb="FFC00000"/>
      <name val="Arial"/>
      <family val="2"/>
    </font>
    <font>
      <sz val="11"/>
      <color rgb="FFFF0000"/>
      <name val="Arial"/>
      <family val="2"/>
    </font>
    <font>
      <b/>
      <sz val="20"/>
      <color theme="1"/>
      <name val="Calibri"/>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n"/>
    </border>
    <border>
      <left style="medium"/>
      <right style="medium"/>
      <top/>
      <bottom/>
    </border>
    <border>
      <left style="thin"/>
      <right/>
      <top/>
      <bottom/>
    </border>
    <border>
      <left style="medium"/>
      <right style="medium"/>
      <top style="medium"/>
      <bottom/>
    </border>
    <border>
      <left style="medium"/>
      <right/>
      <top/>
      <bottom/>
    </border>
    <border>
      <left/>
      <right style="thin"/>
      <top/>
      <bottom/>
    </border>
    <border>
      <left/>
      <right style="medium"/>
      <top/>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style="medium"/>
      <bottom/>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top style="medium"/>
      <bottom/>
    </border>
    <border>
      <left style="medium"/>
      <right style="thin"/>
      <top style="thin"/>
      <bottom style="medium"/>
    </border>
    <border>
      <left/>
      <right style="medium"/>
      <top style="thin"/>
      <bottom/>
    </border>
    <border>
      <left style="medium"/>
      <right style="thin"/>
      <top/>
      <bottom style="thin"/>
    </border>
    <border>
      <left style="thin"/>
      <right style="thin"/>
      <top style="thin"/>
      <bottom style="medium"/>
    </border>
    <border>
      <left>
        <color indexed="63"/>
      </left>
      <right style="thin"/>
      <top style="thin"/>
      <bottom style="thin"/>
    </border>
    <border>
      <left/>
      <right style="medium"/>
      <top style="medium"/>
      <bottom/>
    </border>
    <border>
      <left style="medium"/>
      <right style="medium"/>
      <top/>
      <bottom style="medium"/>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thin"/>
      <right style="thin"/>
      <top/>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0" fillId="26" borderId="1" applyNumberFormat="0" applyFont="0" applyAlignment="0" applyProtection="0"/>
    <xf numFmtId="0" fontId="67" fillId="27" borderId="0" applyNumberFormat="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600">
    <xf numFmtId="0" fontId="0" fillId="0" borderId="0" xfId="0" applyFont="1" applyAlignment="1">
      <alignment/>
    </xf>
    <xf numFmtId="0" fontId="83"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4"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0" xfId="0" applyNumberFormat="1" applyFont="1" applyBorder="1" applyAlignment="1">
      <alignment horizontal="center" vertical="center"/>
    </xf>
    <xf numFmtId="0" fontId="85" fillId="0" borderId="0" xfId="0" applyFont="1" applyFill="1" applyAlignment="1">
      <alignment/>
    </xf>
    <xf numFmtId="0" fontId="85" fillId="0" borderId="0" xfId="0" applyFont="1" applyAlignment="1">
      <alignment/>
    </xf>
    <xf numFmtId="1" fontId="5" fillId="0" borderId="10" xfId="0" applyNumberFormat="1" applyFont="1" applyBorder="1" applyAlignment="1">
      <alignment horizontal="center"/>
    </xf>
    <xf numFmtId="0" fontId="0" fillId="0" borderId="0" xfId="0" applyFill="1" applyAlignment="1">
      <alignment horizontal="center"/>
    </xf>
    <xf numFmtId="0" fontId="86" fillId="0" borderId="0" xfId="0" applyFont="1" applyAlignment="1">
      <alignment/>
    </xf>
    <xf numFmtId="0" fontId="87"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7" fillId="0" borderId="0" xfId="0" applyFont="1" applyAlignment="1">
      <alignment horizontal="center"/>
    </xf>
    <xf numFmtId="1" fontId="4" fillId="33" borderId="11" xfId="0" applyNumberFormat="1" applyFont="1" applyFill="1" applyBorder="1" applyAlignment="1">
      <alignment horizontal="center"/>
    </xf>
    <xf numFmtId="1" fontId="4" fillId="33" borderId="0" xfId="0" applyNumberFormat="1" applyFont="1" applyFill="1" applyBorder="1" applyAlignment="1">
      <alignment horizontal="center"/>
    </xf>
    <xf numFmtId="0" fontId="0" fillId="0" borderId="0" xfId="0" applyFont="1" applyAlignment="1">
      <alignment horizontal="center"/>
    </xf>
    <xf numFmtId="1" fontId="82" fillId="33" borderId="12" xfId="0" applyNumberFormat="1" applyFont="1" applyFill="1" applyBorder="1" applyAlignment="1">
      <alignment horizontal="center"/>
    </xf>
    <xf numFmtId="0" fontId="0" fillId="0" borderId="0" xfId="0" applyBorder="1" applyAlignment="1">
      <alignment horizontal="center"/>
    </xf>
    <xf numFmtId="0" fontId="78" fillId="0" borderId="0" xfId="0" applyFont="1" applyAlignment="1">
      <alignment horizontal="center"/>
    </xf>
    <xf numFmtId="0" fontId="84" fillId="0" borderId="0" xfId="0" applyFont="1" applyAlignment="1">
      <alignment/>
    </xf>
    <xf numFmtId="0" fontId="78" fillId="33" borderId="0" xfId="0" applyFont="1" applyFill="1" applyAlignment="1">
      <alignment horizontal="center"/>
    </xf>
    <xf numFmtId="0" fontId="85" fillId="0" borderId="0" xfId="0" applyFont="1" applyAlignment="1">
      <alignment horizontal="center"/>
    </xf>
    <xf numFmtId="0" fontId="88" fillId="0" borderId="0" xfId="0" applyFont="1" applyAlignment="1">
      <alignment horizontal="center"/>
    </xf>
    <xf numFmtId="0" fontId="89" fillId="33" borderId="13" xfId="0" applyFont="1" applyFill="1" applyBorder="1" applyAlignment="1">
      <alignment horizontal="center"/>
    </xf>
    <xf numFmtId="0" fontId="5" fillId="0" borderId="14" xfId="0" applyFont="1" applyFill="1" applyBorder="1" applyAlignment="1">
      <alignment horizontal="center" vertical="center"/>
    </xf>
    <xf numFmtId="0" fontId="5" fillId="0" borderId="15"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1" fontId="5" fillId="0" borderId="0" xfId="0" applyNumberFormat="1" applyFont="1" applyFill="1" applyBorder="1" applyAlignment="1">
      <alignment horizontal="center"/>
    </xf>
    <xf numFmtId="0" fontId="87"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6" fillId="0" borderId="0" xfId="0" applyFont="1" applyAlignment="1">
      <alignment horizontal="center"/>
    </xf>
    <xf numFmtId="0" fontId="5" fillId="0" borderId="0" xfId="0" applyFont="1" applyBorder="1" applyAlignment="1" applyProtection="1">
      <alignment horizontal="left"/>
      <protection/>
    </xf>
    <xf numFmtId="0" fontId="3" fillId="0" borderId="14" xfId="0" applyFont="1" applyFill="1" applyBorder="1" applyAlignment="1" applyProtection="1">
      <alignment horizontal="left"/>
      <protection/>
    </xf>
    <xf numFmtId="0" fontId="0" fillId="33" borderId="0" xfId="0" applyFill="1" applyBorder="1" applyAlignment="1">
      <alignment horizontal="center"/>
    </xf>
    <xf numFmtId="2" fontId="5" fillId="10" borderId="0" xfId="0" applyNumberFormat="1" applyFont="1" applyFill="1" applyBorder="1" applyAlignment="1" applyProtection="1">
      <alignment horizontal="center" vertical="center"/>
      <protection locked="0"/>
    </xf>
    <xf numFmtId="0" fontId="5" fillId="10" borderId="14"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5"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4"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4"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0" xfId="0" applyNumberFormat="1" applyFont="1" applyFill="1" applyBorder="1" applyAlignment="1" applyProtection="1">
      <alignment horizontal="center"/>
      <protection locked="0"/>
    </xf>
    <xf numFmtId="1" fontId="5" fillId="10" borderId="17" xfId="0" applyNumberFormat="1" applyFont="1" applyFill="1" applyBorder="1" applyAlignment="1">
      <alignment horizontal="center" vertical="center"/>
    </xf>
    <xf numFmtId="1" fontId="5" fillId="10" borderId="18" xfId="0" applyNumberFormat="1" applyFont="1" applyFill="1" applyBorder="1" applyAlignment="1" applyProtection="1">
      <alignment horizontal="center" vertical="center"/>
      <protection locked="0"/>
    </xf>
    <xf numFmtId="1" fontId="5" fillId="10" borderId="10"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5"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4"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17" xfId="0" applyNumberFormat="1" applyFont="1" applyFill="1" applyBorder="1" applyAlignment="1">
      <alignment horizontal="center"/>
    </xf>
    <xf numFmtId="1" fontId="5" fillId="10" borderId="18" xfId="0" applyNumberFormat="1" applyFont="1" applyFill="1" applyBorder="1" applyAlignment="1" applyProtection="1">
      <alignment horizontal="center"/>
      <protection locked="0"/>
    </xf>
    <xf numFmtId="1" fontId="5" fillId="10" borderId="10"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4" xfId="0" applyNumberFormat="1" applyFont="1" applyFill="1" applyBorder="1" applyAlignment="1" applyProtection="1">
      <alignment horizontal="center" vertical="center"/>
      <protection locked="0"/>
    </xf>
    <xf numFmtId="1" fontId="5" fillId="10" borderId="12" xfId="0" applyNumberFormat="1" applyFont="1" applyFill="1" applyBorder="1" applyAlignment="1" applyProtection="1">
      <alignment horizontal="center" vertical="center"/>
      <protection locked="0"/>
    </xf>
    <xf numFmtId="167" fontId="5" fillId="10" borderId="12"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4" xfId="0" applyFont="1" applyFill="1" applyBorder="1" applyAlignment="1">
      <alignment horizontal="left"/>
    </xf>
    <xf numFmtId="0" fontId="5" fillId="0" borderId="0" xfId="0" applyFont="1" applyFill="1" applyBorder="1" applyAlignment="1" applyProtection="1">
      <alignment horizontal="left"/>
      <protection/>
    </xf>
    <xf numFmtId="0" fontId="3" fillId="0" borderId="19"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4" xfId="0" applyFont="1" applyFill="1" applyBorder="1" applyAlignment="1">
      <alignment horizontal="center" vertical="center"/>
    </xf>
    <xf numFmtId="1" fontId="5" fillId="34" borderId="15"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4"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0" xfId="0" applyNumberFormat="1" applyFont="1" applyFill="1" applyBorder="1" applyAlignment="1" applyProtection="1">
      <alignment horizontal="center"/>
      <protection locked="0"/>
    </xf>
    <xf numFmtId="1" fontId="5" fillId="34" borderId="17" xfId="0" applyNumberFormat="1" applyFont="1" applyFill="1" applyBorder="1" applyAlignment="1">
      <alignment horizontal="center" vertical="center"/>
    </xf>
    <xf numFmtId="1" fontId="5" fillId="34" borderId="18" xfId="0" applyNumberFormat="1" applyFont="1" applyFill="1" applyBorder="1" applyAlignment="1" applyProtection="1">
      <alignment horizontal="center" vertical="center"/>
      <protection locked="0"/>
    </xf>
    <xf numFmtId="1" fontId="5" fillId="34" borderId="10"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4" xfId="0" applyFont="1" applyFill="1" applyBorder="1" applyAlignment="1">
      <alignment horizontal="center"/>
    </xf>
    <xf numFmtId="1" fontId="5" fillId="34" borderId="15"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4"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17" xfId="0" applyNumberFormat="1" applyFont="1" applyFill="1" applyBorder="1" applyAlignment="1">
      <alignment horizontal="center"/>
    </xf>
    <xf numFmtId="1" fontId="5" fillId="34" borderId="18" xfId="0" applyNumberFormat="1" applyFont="1" applyFill="1" applyBorder="1" applyAlignment="1" applyProtection="1">
      <alignment horizontal="center"/>
      <protection locked="0"/>
    </xf>
    <xf numFmtId="1" fontId="5" fillId="34" borderId="10" xfId="0" applyNumberFormat="1" applyFont="1" applyFill="1" applyBorder="1" applyAlignment="1">
      <alignment horizontal="center"/>
    </xf>
    <xf numFmtId="1" fontId="5" fillId="34" borderId="14" xfId="0" applyNumberFormat="1" applyFont="1" applyFill="1" applyBorder="1" applyAlignment="1" applyProtection="1">
      <alignment horizontal="center" vertical="center"/>
      <protection locked="0"/>
    </xf>
    <xf numFmtId="1" fontId="5" fillId="34" borderId="12"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2" xfId="0" applyNumberFormat="1" applyFont="1" applyFill="1" applyBorder="1" applyAlignment="1" applyProtection="1">
      <alignment horizontal="center" vertical="center"/>
      <protection locked="0"/>
    </xf>
    <xf numFmtId="167" fontId="5" fillId="34" borderId="12" xfId="0" applyNumberFormat="1" applyFont="1" applyFill="1" applyBorder="1" applyAlignment="1" applyProtection="1">
      <alignment horizontal="center" vertical="center"/>
      <protection locked="0"/>
    </xf>
    <xf numFmtId="2" fontId="5" fillId="34" borderId="15"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0" xfId="0" applyFont="1" applyFill="1" applyBorder="1" applyAlignment="1" applyProtection="1">
      <alignment horizontal="center"/>
      <protection locked="0"/>
    </xf>
    <xf numFmtId="0" fontId="9" fillId="33" borderId="20" xfId="0" applyFont="1" applyFill="1" applyBorder="1" applyAlignment="1" applyProtection="1">
      <alignment horizontal="center" vertical="center"/>
      <protection locked="0"/>
    </xf>
    <xf numFmtId="1" fontId="9" fillId="33" borderId="21" xfId="0" applyNumberFormat="1" applyFont="1" applyFill="1" applyBorder="1" applyAlignment="1" applyProtection="1">
      <alignment horizontal="center" vertical="center"/>
      <protection locked="0"/>
    </xf>
    <xf numFmtId="2" fontId="2" fillId="34" borderId="20" xfId="0" applyNumberFormat="1" applyFont="1" applyFill="1" applyBorder="1" applyAlignment="1" applyProtection="1">
      <alignment horizontal="center" vertical="center"/>
      <protection locked="0"/>
    </xf>
    <xf numFmtId="1" fontId="2" fillId="34" borderId="21" xfId="0"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2" fontId="2" fillId="10" borderId="20" xfId="0" applyNumberFormat="1" applyFont="1" applyFill="1" applyBorder="1" applyAlignment="1" applyProtection="1">
      <alignment horizontal="center" vertical="center"/>
      <protection locked="0"/>
    </xf>
    <xf numFmtId="1" fontId="2" fillId="10" borderId="21" xfId="0" applyNumberFormat="1" applyFont="1" applyFill="1" applyBorder="1" applyAlignment="1" applyProtection="1">
      <alignment horizontal="center" vertical="center"/>
      <protection locked="0"/>
    </xf>
    <xf numFmtId="0" fontId="2" fillId="10" borderId="20" xfId="0" applyFont="1" applyFill="1" applyBorder="1" applyAlignment="1" applyProtection="1">
      <alignment horizontal="center" vertical="center"/>
      <protection locked="0"/>
    </xf>
    <xf numFmtId="0" fontId="8" fillId="34" borderId="22" xfId="0" applyFont="1" applyFill="1" applyBorder="1" applyAlignment="1">
      <alignment horizontal="center" vertical="center"/>
    </xf>
    <xf numFmtId="0" fontId="8" fillId="10" borderId="22" xfId="0" applyFont="1" applyFill="1" applyBorder="1" applyAlignment="1">
      <alignment horizontal="center" vertical="center"/>
    </xf>
    <xf numFmtId="0" fontId="2" fillId="35" borderId="20"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4" xfId="0" applyFont="1" applyFill="1" applyBorder="1" applyAlignment="1">
      <alignment horizontal="center" vertical="center"/>
    </xf>
    <xf numFmtId="0" fontId="5" fillId="33" borderId="15"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2"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12" fillId="0" borderId="22" xfId="0" applyFont="1" applyFill="1" applyBorder="1" applyAlignment="1" applyProtection="1">
      <alignment/>
      <protection locked="0"/>
    </xf>
    <xf numFmtId="0" fontId="0" fillId="0" borderId="20" xfId="0" applyFont="1" applyFill="1" applyBorder="1" applyAlignment="1">
      <alignment/>
    </xf>
    <xf numFmtId="0" fontId="90" fillId="0" borderId="0" xfId="0" applyFont="1" applyFill="1" applyAlignment="1">
      <alignment/>
    </xf>
    <xf numFmtId="0" fontId="16" fillId="0" borderId="0" xfId="0" applyFont="1" applyFill="1" applyAlignment="1">
      <alignment/>
    </xf>
    <xf numFmtId="0" fontId="91" fillId="0" borderId="0" xfId="0" applyFont="1" applyFill="1" applyAlignment="1">
      <alignment/>
    </xf>
    <xf numFmtId="0" fontId="5" fillId="0" borderId="0" xfId="0" applyFont="1" applyFill="1" applyBorder="1" applyAlignment="1" applyProtection="1">
      <alignment/>
      <protection locked="0"/>
    </xf>
    <xf numFmtId="1" fontId="2" fillId="34" borderId="22" xfId="0" applyNumberFormat="1" applyFont="1" applyFill="1" applyBorder="1" applyAlignment="1" applyProtection="1">
      <alignment horizontal="center" vertical="center"/>
      <protection locked="0"/>
    </xf>
    <xf numFmtId="1" fontId="2" fillId="34" borderId="23" xfId="0" applyNumberFormat="1" applyFont="1" applyFill="1" applyBorder="1" applyAlignment="1" applyProtection="1">
      <alignment horizontal="center" vertical="center"/>
      <protection locked="0"/>
    </xf>
    <xf numFmtId="1" fontId="2" fillId="10" borderId="22" xfId="0" applyNumberFormat="1" applyFont="1" applyFill="1" applyBorder="1" applyAlignment="1" applyProtection="1">
      <alignment horizontal="center" vertical="center"/>
      <protection locked="0"/>
    </xf>
    <xf numFmtId="1" fontId="2" fillId="10" borderId="23"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protection locked="0"/>
    </xf>
    <xf numFmtId="0" fontId="2" fillId="34" borderId="20" xfId="0" applyFont="1" applyFill="1" applyBorder="1" applyAlignment="1" applyProtection="1">
      <alignment horizontal="center"/>
      <protection locked="0"/>
    </xf>
    <xf numFmtId="2" fontId="2" fillId="34" borderId="21" xfId="0" applyNumberFormat="1" applyFont="1" applyFill="1" applyBorder="1" applyAlignment="1" applyProtection="1">
      <alignment horizontal="center"/>
      <protection locked="0"/>
    </xf>
    <xf numFmtId="0" fontId="8" fillId="34" borderId="20" xfId="0" applyFont="1" applyFill="1" applyBorder="1" applyAlignment="1">
      <alignment horizontal="center"/>
    </xf>
    <xf numFmtId="1" fontId="2" fillId="34" borderId="21" xfId="0" applyNumberFormat="1" applyFont="1" applyFill="1" applyBorder="1" applyAlignment="1" applyProtection="1">
      <alignment horizontal="center"/>
      <protection locked="0"/>
    </xf>
    <xf numFmtId="0" fontId="2" fillId="35" borderId="20" xfId="0" applyFont="1" applyFill="1" applyBorder="1" applyAlignment="1" applyProtection="1">
      <alignment horizontal="center"/>
      <protection locked="0"/>
    </xf>
    <xf numFmtId="2" fontId="2" fillId="10" borderId="20" xfId="0" applyNumberFormat="1" applyFont="1" applyFill="1" applyBorder="1" applyAlignment="1" applyProtection="1">
      <alignment horizontal="center"/>
      <protection locked="0"/>
    </xf>
    <xf numFmtId="0" fontId="8" fillId="10" borderId="22" xfId="0" applyFont="1" applyFill="1" applyBorder="1" applyAlignment="1">
      <alignment horizontal="center"/>
    </xf>
    <xf numFmtId="1" fontId="2" fillId="10" borderId="21" xfId="0" applyNumberFormat="1" applyFont="1" applyFill="1" applyBorder="1" applyAlignment="1" applyProtection="1">
      <alignment horizontal="center"/>
      <protection locked="0"/>
    </xf>
    <xf numFmtId="0" fontId="2" fillId="10" borderId="20" xfId="0" applyFont="1" applyFill="1" applyBorder="1" applyAlignment="1" applyProtection="1">
      <alignment horizontal="center"/>
      <protection locked="0"/>
    </xf>
    <xf numFmtId="2" fontId="12" fillId="34" borderId="21" xfId="0" applyNumberFormat="1" applyFont="1" applyFill="1" applyBorder="1" applyAlignment="1" applyProtection="1">
      <alignment horizontal="center"/>
      <protection locked="0"/>
    </xf>
    <xf numFmtId="0" fontId="9" fillId="34" borderId="20" xfId="0" applyFont="1" applyFill="1" applyBorder="1" applyAlignment="1">
      <alignment horizontal="center"/>
    </xf>
    <xf numFmtId="1" fontId="12" fillId="34" borderId="21" xfId="0" applyNumberFormat="1" applyFont="1" applyFill="1" applyBorder="1" applyAlignment="1" applyProtection="1">
      <alignment horizontal="center"/>
      <protection locked="0"/>
    </xf>
    <xf numFmtId="0" fontId="12" fillId="35" borderId="20" xfId="0" applyFont="1" applyFill="1" applyBorder="1" applyAlignment="1" applyProtection="1">
      <alignment horizontal="center"/>
      <protection locked="0"/>
    </xf>
    <xf numFmtId="2" fontId="12" fillId="10" borderId="20" xfId="0" applyNumberFormat="1" applyFont="1" applyFill="1" applyBorder="1" applyAlignment="1" applyProtection="1">
      <alignment horizontal="center"/>
      <protection locked="0"/>
    </xf>
    <xf numFmtId="0" fontId="9" fillId="10" borderId="22" xfId="0" applyFont="1" applyFill="1" applyBorder="1" applyAlignment="1">
      <alignment horizontal="center"/>
    </xf>
    <xf numFmtId="1" fontId="12" fillId="10" borderId="21" xfId="0" applyNumberFormat="1" applyFont="1" applyFill="1" applyBorder="1" applyAlignment="1" applyProtection="1">
      <alignment horizontal="center"/>
      <protection locked="0"/>
    </xf>
    <xf numFmtId="0" fontId="12" fillId="10" borderId="20" xfId="0" applyFont="1" applyFill="1" applyBorder="1" applyAlignment="1" applyProtection="1">
      <alignment horizontal="center"/>
      <protection locked="0"/>
    </xf>
    <xf numFmtId="0" fontId="12" fillId="34" borderId="23" xfId="0" applyFont="1" applyFill="1" applyBorder="1" applyAlignment="1" applyProtection="1">
      <alignment horizontal="center"/>
      <protection locked="0"/>
    </xf>
    <xf numFmtId="2" fontId="2" fillId="34" borderId="20" xfId="0" applyNumberFormat="1" applyFont="1" applyFill="1" applyBorder="1" applyAlignment="1" applyProtection="1">
      <alignment horizontal="center"/>
      <protection locked="0"/>
    </xf>
    <xf numFmtId="0" fontId="8" fillId="34" borderId="22" xfId="0" applyFont="1" applyFill="1" applyBorder="1" applyAlignment="1">
      <alignment horizontal="center"/>
    </xf>
    <xf numFmtId="1" fontId="2" fillId="34" borderId="20" xfId="0" applyNumberFormat="1"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1" fontId="2" fillId="10" borderId="20" xfId="0" applyNumberFormat="1" applyFont="1" applyFill="1" applyBorder="1" applyAlignment="1" applyProtection="1">
      <alignment horizontal="center"/>
      <protection locked="0"/>
    </xf>
    <xf numFmtId="1" fontId="2" fillId="35" borderId="20" xfId="0" applyNumberFormat="1" applyFont="1" applyFill="1" applyBorder="1" applyAlignment="1" applyProtection="1">
      <alignment horizontal="center"/>
      <protection locked="0"/>
    </xf>
    <xf numFmtId="0" fontId="8" fillId="10" borderId="20" xfId="0" applyFont="1" applyFill="1" applyBorder="1" applyAlignment="1">
      <alignment horizontal="center"/>
    </xf>
    <xf numFmtId="2" fontId="5" fillId="34" borderId="15"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protection locked="0"/>
    </xf>
    <xf numFmtId="1" fontId="10" fillId="0" borderId="24" xfId="0" applyNumberFormat="1" applyFont="1" applyFill="1" applyBorder="1" applyAlignment="1" applyProtection="1">
      <alignment horizontal="center"/>
      <protection locked="0"/>
    </xf>
    <xf numFmtId="1" fontId="10" fillId="0" borderId="24" xfId="0" applyNumberFormat="1" applyFont="1" applyFill="1" applyBorder="1" applyAlignment="1" applyProtection="1">
      <alignment horizontal="center" vertical="center"/>
      <protection locked="0"/>
    </xf>
    <xf numFmtId="166" fontId="10" fillId="0" borderId="24" xfId="0" applyNumberFormat="1" applyFont="1" applyFill="1" applyBorder="1" applyAlignment="1" applyProtection="1">
      <alignment horizontal="center"/>
      <protection locked="0"/>
    </xf>
    <xf numFmtId="167" fontId="10" fillId="0" borderId="24" xfId="0" applyNumberFormat="1" applyFont="1" applyFill="1" applyBorder="1" applyAlignment="1" applyProtection="1">
      <alignment horizontal="center"/>
      <protection locked="0"/>
    </xf>
    <xf numFmtId="166" fontId="10" fillId="0" borderId="24"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47" fillId="0" borderId="22" xfId="0" applyFont="1" applyFill="1" applyBorder="1" applyAlignment="1">
      <alignment horizontal="left"/>
    </xf>
    <xf numFmtId="0" fontId="43" fillId="0" borderId="25" xfId="0" applyFont="1" applyFill="1" applyBorder="1" applyAlignment="1">
      <alignment/>
    </xf>
    <xf numFmtId="0" fontId="43" fillId="0" borderId="0" xfId="0" applyFont="1" applyAlignment="1">
      <alignment/>
    </xf>
    <xf numFmtId="0" fontId="43" fillId="0" borderId="22"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8" fillId="0" borderId="24" xfId="0" applyNumberFormat="1" applyFont="1" applyFill="1" applyBorder="1" applyAlignment="1">
      <alignment horizontal="center"/>
    </xf>
    <xf numFmtId="0" fontId="2" fillId="0" borderId="26" xfId="0" applyFont="1" applyFill="1" applyBorder="1" applyAlignment="1" applyProtection="1">
      <alignment horizontal="center"/>
      <protection locked="0"/>
    </xf>
    <xf numFmtId="0" fontId="49" fillId="36" borderId="25" xfId="0" applyFont="1" applyFill="1" applyBorder="1" applyAlignment="1">
      <alignment/>
    </xf>
    <xf numFmtId="0" fontId="43" fillId="0" borderId="20" xfId="0" applyFont="1" applyFill="1" applyBorder="1" applyAlignment="1">
      <alignment/>
    </xf>
    <xf numFmtId="0" fontId="48" fillId="0" borderId="20"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0" xfId="0" applyFont="1" applyFill="1" applyBorder="1" applyAlignment="1">
      <alignment horizontal="center"/>
    </xf>
    <xf numFmtId="0" fontId="43" fillId="10" borderId="20" xfId="0" applyFont="1" applyFill="1" applyBorder="1" applyAlignment="1">
      <alignment horizontal="center"/>
    </xf>
    <xf numFmtId="0" fontId="43" fillId="0" borderId="14" xfId="0" applyFont="1" applyFill="1" applyBorder="1" applyAlignment="1">
      <alignment/>
    </xf>
    <xf numFmtId="0" fontId="49" fillId="0" borderId="20"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4" xfId="0" applyNumberFormat="1"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4" xfId="0" applyFont="1" applyFill="1" applyBorder="1" applyAlignment="1">
      <alignment horizontal="center"/>
    </xf>
    <xf numFmtId="0" fontId="10" fillId="0" borderId="24" xfId="0" applyFont="1" applyFill="1" applyBorder="1" applyAlignment="1" applyProtection="1">
      <alignment horizontal="center"/>
      <protection locked="0"/>
    </xf>
    <xf numFmtId="1" fontId="10" fillId="34" borderId="15" xfId="0" applyNumberFormat="1" applyFont="1" applyFill="1" applyBorder="1" applyAlignment="1" applyProtection="1">
      <alignment horizontal="center"/>
      <protection locked="0"/>
    </xf>
    <xf numFmtId="0" fontId="48" fillId="0" borderId="24" xfId="0" applyFont="1" applyFill="1" applyBorder="1" applyAlignment="1">
      <alignment horizontal="center"/>
    </xf>
    <xf numFmtId="1" fontId="48" fillId="0" borderId="24"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4" xfId="0" applyFont="1" applyFill="1" applyBorder="1" applyAlignment="1" applyProtection="1">
      <alignment horizontal="left"/>
      <protection/>
    </xf>
    <xf numFmtId="0" fontId="50" fillId="0" borderId="26" xfId="0" applyFont="1" applyFill="1" applyBorder="1" applyAlignment="1" quotePrefix="1">
      <alignment/>
    </xf>
    <xf numFmtId="0" fontId="0" fillId="0" borderId="0" xfId="0" applyBorder="1" applyAlignment="1">
      <alignment/>
    </xf>
    <xf numFmtId="0" fontId="5" fillId="0" borderId="27"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5" fillId="0" borderId="12" xfId="0" applyFont="1" applyFill="1" applyBorder="1" applyAlignment="1">
      <alignment horizontal="left"/>
    </xf>
    <xf numFmtId="0" fontId="88" fillId="0" borderId="0" xfId="0" applyFont="1" applyBorder="1" applyAlignment="1">
      <alignment horizontal="center"/>
    </xf>
    <xf numFmtId="0" fontId="78" fillId="0" borderId="0" xfId="0" applyFont="1" applyBorder="1" applyAlignment="1">
      <alignment horizontal="center"/>
    </xf>
    <xf numFmtId="0" fontId="0" fillId="33" borderId="0" xfId="0" applyFill="1" applyBorder="1" applyAlignment="1">
      <alignment/>
    </xf>
    <xf numFmtId="0" fontId="82" fillId="0" borderId="0" xfId="0" applyFont="1" applyBorder="1" applyAlignment="1">
      <alignment horizontal="center"/>
    </xf>
    <xf numFmtId="1" fontId="0" fillId="0" borderId="0" xfId="0" applyNumberFormat="1" applyBorder="1" applyAlignment="1">
      <alignment horizontal="center"/>
    </xf>
    <xf numFmtId="1" fontId="84" fillId="33" borderId="0" xfId="0" applyNumberFormat="1" applyFont="1" applyFill="1" applyBorder="1" applyAlignment="1">
      <alignment horizontal="center"/>
    </xf>
    <xf numFmtId="1" fontId="48" fillId="33" borderId="0" xfId="0" applyNumberFormat="1" applyFont="1" applyFill="1" applyBorder="1" applyAlignment="1">
      <alignment horizontal="center"/>
    </xf>
    <xf numFmtId="0" fontId="4" fillId="33" borderId="0" xfId="0" applyFont="1" applyFill="1" applyBorder="1" applyAlignment="1">
      <alignment/>
    </xf>
    <xf numFmtId="0" fontId="82" fillId="33" borderId="0" xfId="0" applyFont="1" applyFill="1" applyBorder="1" applyAlignment="1">
      <alignment horizontal="center"/>
    </xf>
    <xf numFmtId="0" fontId="88" fillId="33" borderId="0" xfId="0" applyFont="1" applyFill="1" applyBorder="1" applyAlignment="1">
      <alignment horizontal="center"/>
    </xf>
    <xf numFmtId="0" fontId="78" fillId="33" borderId="0" xfId="0" applyFont="1" applyFill="1" applyBorder="1" applyAlignment="1">
      <alignment horizontal="center"/>
    </xf>
    <xf numFmtId="1" fontId="0" fillId="33" borderId="0" xfId="0" applyNumberFormat="1" applyFill="1" applyBorder="1" applyAlignment="1">
      <alignment horizontal="center"/>
    </xf>
    <xf numFmtId="1" fontId="82" fillId="0" borderId="0" xfId="0" applyNumberFormat="1" applyFont="1" applyBorder="1" applyAlignment="1">
      <alignment horizontal="center"/>
    </xf>
    <xf numFmtId="0" fontId="92" fillId="33" borderId="0" xfId="0" applyFont="1" applyFill="1" applyBorder="1" applyAlignment="1">
      <alignment horizontal="center" wrapText="1"/>
    </xf>
    <xf numFmtId="1" fontId="82" fillId="33" borderId="0" xfId="0" applyNumberFormat="1" applyFont="1" applyFill="1" applyBorder="1" applyAlignment="1">
      <alignment horizontal="center"/>
    </xf>
    <xf numFmtId="1" fontId="78" fillId="33" borderId="0" xfId="0" applyNumberFormat="1" applyFont="1" applyFill="1" applyBorder="1" applyAlignment="1">
      <alignment horizontal="center"/>
    </xf>
    <xf numFmtId="0" fontId="87" fillId="0" borderId="0" xfId="0" applyFont="1" applyBorder="1" applyAlignment="1">
      <alignment horizontal="center"/>
    </xf>
    <xf numFmtId="0" fontId="87" fillId="0" borderId="0" xfId="0" applyFont="1" applyBorder="1" applyAlignment="1">
      <alignment/>
    </xf>
    <xf numFmtId="166" fontId="9" fillId="33" borderId="20" xfId="0" applyNumberFormat="1" applyFont="1" applyFill="1" applyBorder="1" applyAlignment="1" applyProtection="1">
      <alignment horizontal="center" vertical="center"/>
      <protection locked="0"/>
    </xf>
    <xf numFmtId="1" fontId="9" fillId="33" borderId="20" xfId="0" applyNumberFormat="1" applyFont="1" applyFill="1" applyBorder="1" applyAlignment="1" applyProtection="1">
      <alignment horizontal="center" vertical="center"/>
      <protection locked="0"/>
    </xf>
    <xf numFmtId="1" fontId="12" fillId="0" borderId="28" xfId="0" applyNumberFormat="1" applyFont="1" applyFill="1" applyBorder="1" applyAlignment="1" applyProtection="1">
      <alignment horizontal="center" vertical="center"/>
      <protection locked="0"/>
    </xf>
    <xf numFmtId="0" fontId="2" fillId="34" borderId="20" xfId="0" applyFont="1" applyFill="1" applyBorder="1" applyAlignment="1">
      <alignment horizontal="center" vertical="center"/>
    </xf>
    <xf numFmtId="1" fontId="2" fillId="34" borderId="20" xfId="0" applyNumberFormat="1" applyFont="1" applyFill="1" applyBorder="1" applyAlignment="1" applyProtection="1">
      <alignment horizontal="center" vertical="center"/>
      <protection locked="0"/>
    </xf>
    <xf numFmtId="1" fontId="2" fillId="33" borderId="20" xfId="0" applyNumberFormat="1" applyFont="1" applyFill="1" applyBorder="1" applyAlignment="1" applyProtection="1">
      <alignment horizontal="center" vertical="center"/>
      <protection locked="0"/>
    </xf>
    <xf numFmtId="0" fontId="2" fillId="10" borderId="20" xfId="0" applyFont="1" applyFill="1" applyBorder="1" applyAlignment="1">
      <alignment horizontal="center" vertical="center"/>
    </xf>
    <xf numFmtId="1" fontId="2" fillId="10" borderId="20"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28" xfId="0" applyNumberFormat="1" applyFont="1" applyFill="1" applyBorder="1" applyAlignment="1" applyProtection="1">
      <alignment horizontal="center" vertical="center"/>
      <protection locked="0"/>
    </xf>
    <xf numFmtId="1" fontId="5" fillId="6" borderId="16"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0" xfId="0" applyFont="1" applyFill="1" applyBorder="1" applyAlignment="1" applyProtection="1">
      <alignment horizontal="center" vertical="center"/>
      <protection locked="0"/>
    </xf>
    <xf numFmtId="1" fontId="12" fillId="6" borderId="16" xfId="0" applyNumberFormat="1" applyFont="1" applyFill="1" applyBorder="1" applyAlignment="1" applyProtection="1">
      <alignment horizontal="center" vertical="center"/>
      <protection locked="0"/>
    </xf>
    <xf numFmtId="1" fontId="5" fillId="6" borderId="10" xfId="0" applyNumberFormat="1" applyFont="1" applyFill="1" applyBorder="1" applyAlignment="1">
      <alignment horizontal="center" vertical="center"/>
    </xf>
    <xf numFmtId="1" fontId="5" fillId="6" borderId="29" xfId="0" applyNumberFormat="1" applyFont="1" applyFill="1" applyBorder="1" applyAlignment="1" applyProtection="1">
      <alignment horizontal="center" vertical="center"/>
      <protection locked="0"/>
    </xf>
    <xf numFmtId="1" fontId="12" fillId="6" borderId="16"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6"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0" xfId="0" applyNumberFormat="1" applyFont="1" applyFill="1" applyBorder="1" applyAlignment="1">
      <alignment horizontal="center"/>
    </xf>
    <xf numFmtId="1" fontId="5" fillId="6" borderId="29" xfId="0" applyNumberFormat="1" applyFont="1" applyFill="1" applyBorder="1" applyAlignment="1" applyProtection="1">
      <alignment horizontal="center"/>
      <protection locked="0"/>
    </xf>
    <xf numFmtId="0" fontId="12" fillId="6" borderId="26" xfId="0" applyFont="1" applyFill="1" applyBorder="1" applyAlignment="1" applyProtection="1">
      <alignment horizontal="center" vertical="center"/>
      <protection locked="0"/>
    </xf>
    <xf numFmtId="1" fontId="12" fillId="6" borderId="30"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3"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6" xfId="0" applyFont="1" applyFill="1" applyBorder="1" applyAlignment="1" applyProtection="1">
      <alignment horizontal="center"/>
      <protection locked="0"/>
    </xf>
    <xf numFmtId="1" fontId="12" fillId="6" borderId="30" xfId="0" applyNumberFormat="1" applyFont="1" applyFill="1" applyBorder="1" applyAlignment="1" applyProtection="1">
      <alignment horizontal="center"/>
      <protection locked="0"/>
    </xf>
    <xf numFmtId="166" fontId="9" fillId="33" borderId="20" xfId="0" applyNumberFormat="1" applyFont="1" applyFill="1" applyBorder="1" applyAlignment="1" applyProtection="1">
      <alignment horizontal="center"/>
      <protection locked="0"/>
    </xf>
    <xf numFmtId="0" fontId="9" fillId="33" borderId="20" xfId="0" applyFont="1" applyFill="1" applyBorder="1" applyAlignment="1">
      <alignment horizontal="center" vertical="center"/>
    </xf>
    <xf numFmtId="1" fontId="5" fillId="33" borderId="20"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27" xfId="0" applyFont="1" applyFill="1" applyBorder="1" applyAlignment="1" applyProtection="1">
      <alignment horizontal="left"/>
      <protection/>
    </xf>
    <xf numFmtId="0" fontId="8" fillId="0" borderId="31" xfId="0" applyFont="1" applyFill="1" applyBorder="1" applyAlignment="1" applyProtection="1">
      <alignment horizontal="left"/>
      <protection/>
    </xf>
    <xf numFmtId="0" fontId="8" fillId="0" borderId="31" xfId="0" applyFont="1" applyFill="1" applyBorder="1" applyAlignment="1" applyProtection="1">
      <alignment horizontal="center"/>
      <protection/>
    </xf>
    <xf numFmtId="0" fontId="8" fillId="0" borderId="31" xfId="0" applyFont="1" applyFill="1" applyBorder="1" applyAlignment="1" applyProtection="1">
      <alignment horizontal="center"/>
      <protection locked="0"/>
    </xf>
    <xf numFmtId="0" fontId="8" fillId="0" borderId="32" xfId="0" applyFont="1" applyFill="1" applyBorder="1" applyAlignment="1">
      <alignment horizontal="center"/>
    </xf>
    <xf numFmtId="1" fontId="8" fillId="0" borderId="31" xfId="0" applyNumberFormat="1" applyFont="1" applyFill="1" applyBorder="1" applyAlignment="1" applyProtection="1">
      <alignment horizontal="center"/>
      <protection/>
    </xf>
    <xf numFmtId="1" fontId="8" fillId="0" borderId="31" xfId="0" applyNumberFormat="1" applyFont="1" applyFill="1" applyBorder="1" applyAlignment="1" applyProtection="1">
      <alignment horizontal="center"/>
      <protection locked="0"/>
    </xf>
    <xf numFmtId="1" fontId="2" fillId="0" borderId="32" xfId="0" applyNumberFormat="1" applyFont="1" applyFill="1" applyBorder="1" applyAlignment="1" applyProtection="1">
      <alignment horizontal="center"/>
      <protection locked="0"/>
    </xf>
    <xf numFmtId="164" fontId="8" fillId="0" borderId="32" xfId="0" applyNumberFormat="1" applyFont="1" applyFill="1" applyBorder="1" applyAlignment="1">
      <alignment horizontal="center"/>
    </xf>
    <xf numFmtId="0" fontId="8" fillId="0" borderId="0" xfId="0" applyFont="1" applyFill="1" applyBorder="1" applyAlignment="1" applyProtection="1">
      <alignment horizontal="left"/>
      <protection locked="0"/>
    </xf>
    <xf numFmtId="1" fontId="2" fillId="0" borderId="15" xfId="0" applyNumberFormat="1" applyFont="1" applyFill="1" applyBorder="1" applyAlignment="1" applyProtection="1">
      <alignment horizontal="center"/>
      <protection locked="0"/>
    </xf>
    <xf numFmtId="164" fontId="8" fillId="0" borderId="15"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4" xfId="0" applyFont="1" applyFill="1" applyBorder="1" applyAlignment="1" applyProtection="1">
      <alignment horizontal="left"/>
      <protection locked="0"/>
    </xf>
    <xf numFmtId="1" fontId="8" fillId="0" borderId="10" xfId="0" applyNumberFormat="1" applyFont="1" applyFill="1" applyBorder="1" applyAlignment="1" applyProtection="1">
      <alignment horizontal="center"/>
      <protection/>
    </xf>
    <xf numFmtId="0" fontId="8" fillId="0" borderId="10" xfId="0" applyFont="1" applyFill="1" applyBorder="1" applyAlignment="1" applyProtection="1">
      <alignment horizontal="center"/>
      <protection locked="0"/>
    </xf>
    <xf numFmtId="1" fontId="8" fillId="0" borderId="10" xfId="0" applyNumberFormat="1" applyFont="1" applyFill="1" applyBorder="1" applyAlignment="1" applyProtection="1">
      <alignment horizontal="center"/>
      <protection locked="0"/>
    </xf>
    <xf numFmtId="1" fontId="2" fillId="0" borderId="18" xfId="0" applyNumberFormat="1" applyFont="1" applyFill="1" applyBorder="1" applyAlignment="1" applyProtection="1">
      <alignment horizontal="center"/>
      <protection locked="0"/>
    </xf>
    <xf numFmtId="164" fontId="8" fillId="0" borderId="18" xfId="0" applyNumberFormat="1" applyFont="1" applyFill="1" applyBorder="1" applyAlignment="1">
      <alignment horizontal="center"/>
    </xf>
    <xf numFmtId="0" fontId="5" fillId="0" borderId="33" xfId="0" applyFont="1" applyFill="1" applyBorder="1" applyAlignment="1" applyProtection="1">
      <alignment horizontal="left"/>
      <protection/>
    </xf>
    <xf numFmtId="0" fontId="2" fillId="0" borderId="34" xfId="0" applyFont="1" applyFill="1" applyBorder="1" applyAlignment="1" applyProtection="1">
      <alignment horizontal="center"/>
      <protection/>
    </xf>
    <xf numFmtId="164" fontId="2" fillId="0" borderId="18" xfId="0" applyNumberFormat="1" applyFont="1" applyFill="1" applyBorder="1" applyAlignment="1">
      <alignment horizontal="center"/>
    </xf>
    <xf numFmtId="0" fontId="2" fillId="6" borderId="24" xfId="0" applyFont="1" applyFill="1" applyBorder="1" applyAlignment="1" applyProtection="1">
      <alignment horizontal="center"/>
      <protection locked="0"/>
    </xf>
    <xf numFmtId="166" fontId="2" fillId="6" borderId="24" xfId="0" applyNumberFormat="1" applyFont="1" applyFill="1" applyBorder="1" applyAlignment="1" applyProtection="1">
      <alignment horizontal="center"/>
      <protection locked="0"/>
    </xf>
    <xf numFmtId="0" fontId="2" fillId="6" borderId="24" xfId="0" applyFont="1" applyFill="1" applyBorder="1" applyAlignment="1">
      <alignment horizontal="center"/>
    </xf>
    <xf numFmtId="0" fontId="18" fillId="0" borderId="0" xfId="0" applyFont="1" applyBorder="1" applyAlignment="1" applyProtection="1">
      <alignment/>
      <protection/>
    </xf>
    <xf numFmtId="0" fontId="5" fillId="0" borderId="35" xfId="0" applyFont="1" applyFill="1" applyBorder="1" applyAlignment="1" applyProtection="1">
      <alignment/>
      <protection/>
    </xf>
    <xf numFmtId="0" fontId="5" fillId="0" borderId="14"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6" xfId="0" applyNumberFormat="1" applyFont="1" applyFill="1" applyBorder="1" applyAlignment="1">
      <alignment horizontal="center"/>
    </xf>
    <xf numFmtId="0" fontId="5" fillId="0" borderId="36" xfId="0" applyFont="1" applyFill="1" applyBorder="1" applyAlignment="1" applyProtection="1">
      <alignment horizontal="left"/>
      <protection locked="0"/>
    </xf>
    <xf numFmtId="1" fontId="8" fillId="0" borderId="26" xfId="0" applyNumberFormat="1" applyFont="1"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6" xfId="0" applyNumberFormat="1" applyFont="1" applyFill="1" applyBorder="1" applyAlignment="1">
      <alignment horizontal="center"/>
    </xf>
    <xf numFmtId="0" fontId="11" fillId="0" borderId="14" xfId="0" applyFont="1" applyFill="1" applyBorder="1" applyAlignment="1" applyProtection="1">
      <alignment horizontal="left"/>
      <protection/>
    </xf>
    <xf numFmtId="0" fontId="4" fillId="0" borderId="19" xfId="0" applyFont="1" applyFill="1" applyBorder="1" applyAlignment="1" applyProtection="1">
      <alignment horizontal="left"/>
      <protection locked="0"/>
    </xf>
    <xf numFmtId="0" fontId="5" fillId="0" borderId="26" xfId="0" applyFont="1" applyFill="1" applyBorder="1" applyAlignment="1" applyProtection="1">
      <alignment horizontal="center"/>
      <protection/>
    </xf>
    <xf numFmtId="1" fontId="2" fillId="0" borderId="16" xfId="0" applyNumberFormat="1" applyFont="1" applyFill="1" applyBorder="1" applyAlignment="1" applyProtection="1">
      <alignment horizontal="center"/>
      <protection locked="0"/>
    </xf>
    <xf numFmtId="1" fontId="2" fillId="0" borderId="3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0" fontId="5" fillId="0" borderId="27" xfId="0" applyFont="1" applyFill="1" applyBorder="1" applyAlignment="1" applyProtection="1">
      <alignment/>
      <protection/>
    </xf>
    <xf numFmtId="166" fontId="2" fillId="0" borderId="31" xfId="0" applyNumberFormat="1" applyFont="1" applyFill="1" applyBorder="1" applyAlignment="1" applyProtection="1">
      <alignment horizontal="center"/>
      <protection locked="0"/>
    </xf>
    <xf numFmtId="1" fontId="2" fillId="0" borderId="37" xfId="0" applyNumberFormat="1" applyFont="1" applyFill="1" applyBorder="1" applyAlignment="1" applyProtection="1">
      <alignment horizontal="center"/>
      <protection locked="0"/>
    </xf>
    <xf numFmtId="0" fontId="5" fillId="0" borderId="12" xfId="0" applyFont="1" applyFill="1" applyBorder="1" applyAlignment="1" applyProtection="1">
      <alignment/>
      <protection/>
    </xf>
    <xf numFmtId="166" fontId="2" fillId="0" borderId="10" xfId="0" applyNumberFormat="1" applyFont="1" applyFill="1" applyBorder="1" applyAlignment="1" applyProtection="1">
      <alignment horizontal="center"/>
      <protection locked="0"/>
    </xf>
    <xf numFmtId="1" fontId="2" fillId="0" borderId="29" xfId="0" applyNumberFormat="1" applyFont="1" applyFill="1" applyBorder="1" applyAlignment="1" applyProtection="1">
      <alignment horizontal="center"/>
      <protection locked="0"/>
    </xf>
    <xf numFmtId="164" fontId="8" fillId="0" borderId="38" xfId="0" applyNumberFormat="1" applyFont="1" applyFill="1" applyBorder="1" applyAlignment="1">
      <alignment horizontal="center"/>
    </xf>
    <xf numFmtId="0" fontId="8" fillId="0" borderId="0" xfId="0" applyFont="1" applyFill="1" applyBorder="1" applyAlignment="1" applyProtection="1">
      <alignment/>
      <protection locked="0"/>
    </xf>
    <xf numFmtId="0" fontId="2" fillId="10" borderId="24" xfId="0" applyFont="1" applyFill="1" applyBorder="1" applyAlignment="1" applyProtection="1">
      <alignment horizontal="center"/>
      <protection locked="0"/>
    </xf>
    <xf numFmtId="0" fontId="2" fillId="10" borderId="39" xfId="0" applyFont="1" applyFill="1" applyBorder="1" applyAlignment="1" applyProtection="1">
      <alignment horizontal="center"/>
      <protection locked="0"/>
    </xf>
    <xf numFmtId="1" fontId="8" fillId="0" borderId="26"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39" xfId="0" applyNumberFormat="1" applyFont="1" applyFill="1" applyBorder="1" applyAlignment="1" applyProtection="1">
      <alignment horizontal="center"/>
      <protection locked="0"/>
    </xf>
    <xf numFmtId="166" fontId="2" fillId="10" borderId="24" xfId="0" applyNumberFormat="1" applyFont="1" applyFill="1" applyBorder="1" applyAlignment="1" applyProtection="1">
      <alignment horizontal="center"/>
      <protection locked="0"/>
    </xf>
    <xf numFmtId="164" fontId="8" fillId="0" borderId="30" xfId="0" applyNumberFormat="1" applyFont="1" applyFill="1" applyBorder="1" applyAlignment="1">
      <alignment horizontal="center"/>
    </xf>
    <xf numFmtId="0" fontId="43" fillId="34" borderId="31" xfId="0" applyFont="1" applyFill="1" applyBorder="1" applyAlignment="1">
      <alignment/>
    </xf>
    <xf numFmtId="0" fontId="5" fillId="34" borderId="31"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3" fillId="34" borderId="0" xfId="0" applyFont="1" applyFill="1" applyBorder="1" applyAlignment="1">
      <alignment/>
    </xf>
    <xf numFmtId="0" fontId="78"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0" xfId="0" applyNumberFormat="1" applyFont="1" applyBorder="1" applyAlignment="1" applyProtection="1">
      <alignment horizontal="center" vertical="center"/>
      <protection locked="0"/>
    </xf>
    <xf numFmtId="1" fontId="2" fillId="35" borderId="20" xfId="0" applyNumberFormat="1" applyFont="1" applyFill="1" applyBorder="1" applyAlignment="1" applyProtection="1">
      <alignment horizontal="center" vertical="center"/>
      <protection locked="0"/>
    </xf>
    <xf numFmtId="1" fontId="2" fillId="0" borderId="20" xfId="0" applyNumberFormat="1" applyFont="1" applyFill="1" applyBorder="1" applyAlignment="1" applyProtection="1">
      <alignment horizontal="center" vertical="center"/>
      <protection locked="0"/>
    </xf>
    <xf numFmtId="1" fontId="12" fillId="35" borderId="20" xfId="0" applyNumberFormat="1" applyFont="1" applyFill="1" applyBorder="1" applyAlignment="1" applyProtection="1">
      <alignment horizontal="center"/>
      <protection locked="0"/>
    </xf>
    <xf numFmtId="1" fontId="5" fillId="0" borderId="10" xfId="0" applyNumberFormat="1" applyFont="1" applyBorder="1" applyAlignment="1" applyProtection="1">
      <alignment horizontal="center"/>
      <protection locked="0"/>
    </xf>
    <xf numFmtId="0" fontId="5" fillId="0" borderId="40" xfId="0" applyFont="1" applyFill="1" applyBorder="1" applyAlignment="1" applyProtection="1">
      <alignment horizontal="center" vertical="center"/>
      <protection locked="0"/>
    </xf>
    <xf numFmtId="0" fontId="94" fillId="0" borderId="40" xfId="0" applyFont="1" applyFill="1" applyBorder="1" applyAlignment="1" applyProtection="1">
      <alignment horizontal="center" vertical="center"/>
      <protection locked="0"/>
    </xf>
    <xf numFmtId="0" fontId="5" fillId="0" borderId="40" xfId="0" applyFont="1" applyFill="1" applyBorder="1" applyAlignment="1">
      <alignment horizontal="center"/>
    </xf>
    <xf numFmtId="0" fontId="5" fillId="0" borderId="40" xfId="0" applyFont="1" applyFill="1" applyBorder="1" applyAlignment="1" applyProtection="1">
      <alignment horizontal="center"/>
      <protection locked="0"/>
    </xf>
    <xf numFmtId="1" fontId="5" fillId="0" borderId="40" xfId="0" applyNumberFormat="1" applyFont="1" applyFill="1" applyBorder="1" applyAlignment="1" applyProtection="1">
      <alignment horizontal="center"/>
      <protection locked="0"/>
    </xf>
    <xf numFmtId="1" fontId="5" fillId="0" borderId="40"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2" xfId="0" applyFont="1" applyFill="1" applyBorder="1" applyAlignment="1">
      <alignment/>
    </xf>
    <xf numFmtId="0" fontId="43" fillId="10" borderId="23" xfId="0" applyFont="1" applyFill="1" applyBorder="1" applyAlignment="1">
      <alignment/>
    </xf>
    <xf numFmtId="0" fontId="43" fillId="10" borderId="12" xfId="0" applyFont="1" applyFill="1" applyBorder="1" applyAlignment="1">
      <alignment/>
    </xf>
    <xf numFmtId="0" fontId="48" fillId="10" borderId="23" xfId="0" applyFont="1" applyFill="1" applyBorder="1" applyAlignment="1">
      <alignment/>
    </xf>
    <xf numFmtId="0" fontId="43" fillId="33" borderId="23" xfId="0" applyFont="1" applyFill="1" applyBorder="1" applyAlignment="1">
      <alignment/>
    </xf>
    <xf numFmtId="1" fontId="9" fillId="0" borderId="21" xfId="0" applyNumberFormat="1" applyFont="1" applyFill="1" applyBorder="1" applyAlignment="1" applyProtection="1">
      <alignment horizontal="center" vertical="center"/>
      <protection locked="0"/>
    </xf>
    <xf numFmtId="1" fontId="43" fillId="10" borderId="12" xfId="0" applyNumberFormat="1" applyFont="1" applyFill="1" applyBorder="1" applyAlignment="1">
      <alignment/>
    </xf>
    <xf numFmtId="0" fontId="43" fillId="0" borderId="12" xfId="0" applyFont="1" applyFill="1" applyBorder="1" applyAlignment="1">
      <alignment/>
    </xf>
    <xf numFmtId="0" fontId="43" fillId="10" borderId="0" xfId="0" applyFont="1" applyFill="1" applyBorder="1" applyAlignment="1">
      <alignment horizontal="center"/>
    </xf>
    <xf numFmtId="0" fontId="43" fillId="10" borderId="12" xfId="0" applyFont="1" applyFill="1" applyBorder="1" applyAlignment="1">
      <alignment horizontal="center"/>
    </xf>
    <xf numFmtId="0" fontId="43" fillId="0" borderId="15" xfId="0" applyFont="1" applyFill="1" applyBorder="1" applyAlignment="1">
      <alignment/>
    </xf>
    <xf numFmtId="0" fontId="49" fillId="10" borderId="12" xfId="0" applyFont="1" applyFill="1" applyBorder="1" applyAlignment="1">
      <alignment/>
    </xf>
    <xf numFmtId="0" fontId="43" fillId="10" borderId="23" xfId="0" applyFont="1" applyFill="1" applyBorder="1" applyAlignment="1">
      <alignment horizontal="center"/>
    </xf>
    <xf numFmtId="0" fontId="43" fillId="0" borderId="12" xfId="0" applyFont="1" applyFill="1" applyBorder="1" applyAlignment="1">
      <alignment horizontal="center"/>
    </xf>
    <xf numFmtId="0" fontId="49" fillId="10" borderId="23" xfId="0" applyFont="1" applyFill="1" applyBorder="1" applyAlignment="1">
      <alignment horizontal="center"/>
    </xf>
    <xf numFmtId="0" fontId="47" fillId="10" borderId="12" xfId="0" applyFont="1" applyFill="1" applyBorder="1" applyAlignment="1">
      <alignment horizontal="right"/>
    </xf>
    <xf numFmtId="0" fontId="5" fillId="10" borderId="12" xfId="0" applyFont="1" applyFill="1" applyBorder="1" applyAlignment="1" applyProtection="1">
      <alignment/>
      <protection locked="0"/>
    </xf>
    <xf numFmtId="0" fontId="8" fillId="10" borderId="23" xfId="0" applyFont="1" applyFill="1" applyBorder="1" applyAlignment="1">
      <alignment horizontal="center"/>
    </xf>
    <xf numFmtId="0" fontId="0" fillId="10" borderId="12" xfId="0" applyFill="1" applyBorder="1" applyAlignment="1">
      <alignment/>
    </xf>
    <xf numFmtId="0" fontId="5" fillId="33" borderId="12" xfId="0" applyFont="1" applyFill="1" applyBorder="1" applyAlignment="1" applyProtection="1">
      <alignment horizontal="center" vertical="center"/>
      <protection locked="0"/>
    </xf>
    <xf numFmtId="0" fontId="5" fillId="34" borderId="12" xfId="0" applyFont="1" applyFill="1" applyBorder="1" applyAlignment="1">
      <alignment horizontal="center" vertical="center"/>
    </xf>
    <xf numFmtId="0" fontId="5" fillId="34" borderId="12" xfId="0" applyFont="1" applyFill="1" applyBorder="1" applyAlignment="1" applyProtection="1">
      <alignment horizontal="center" vertical="center"/>
      <protection locked="0"/>
    </xf>
    <xf numFmtId="0" fontId="48" fillId="34" borderId="23" xfId="0" applyFont="1" applyFill="1" applyBorder="1" applyAlignment="1">
      <alignment/>
    </xf>
    <xf numFmtId="0" fontId="9" fillId="33" borderId="23" xfId="0" applyFont="1" applyFill="1" applyBorder="1" applyAlignment="1" applyProtection="1">
      <alignment horizontal="center"/>
      <protection locked="0"/>
    </xf>
    <xf numFmtId="0" fontId="5" fillId="34" borderId="12" xfId="0" applyFont="1" applyFill="1" applyBorder="1" applyAlignment="1">
      <alignment horizontal="center"/>
    </xf>
    <xf numFmtId="0" fontId="5" fillId="34" borderId="12" xfId="0" applyFont="1" applyFill="1" applyBorder="1" applyAlignment="1" applyProtection="1">
      <alignment horizontal="center"/>
      <protection locked="0"/>
    </xf>
    <xf numFmtId="0" fontId="5" fillId="34" borderId="33" xfId="0" applyFont="1" applyFill="1" applyBorder="1" applyAlignment="1" applyProtection="1">
      <alignment horizontal="center"/>
      <protection locked="0"/>
    </xf>
    <xf numFmtId="0" fontId="2" fillId="34" borderId="23" xfId="0" applyFont="1" applyFill="1" applyBorder="1" applyAlignment="1" applyProtection="1">
      <alignment vertical="center"/>
      <protection locked="0"/>
    </xf>
    <xf numFmtId="0" fontId="2" fillId="34" borderId="2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34" borderId="12" xfId="0" applyFont="1" applyFill="1" applyBorder="1" applyAlignment="1" applyProtection="1">
      <alignment vertical="center"/>
      <protection locked="0"/>
    </xf>
    <xf numFmtId="0" fontId="43" fillId="34" borderId="12" xfId="0" applyFont="1" applyFill="1" applyBorder="1" applyAlignment="1">
      <alignment/>
    </xf>
    <xf numFmtId="0" fontId="8" fillId="0" borderId="25" xfId="0" applyFont="1" applyFill="1" applyBorder="1" applyAlignment="1">
      <alignment/>
    </xf>
    <xf numFmtId="164" fontId="8" fillId="0" borderId="35" xfId="0" applyNumberFormat="1" applyFont="1" applyFill="1" applyBorder="1" applyAlignment="1">
      <alignment horizontal="right"/>
    </xf>
    <xf numFmtId="164" fontId="8" fillId="0" borderId="25" xfId="0" applyNumberFormat="1" applyFont="1" applyFill="1" applyBorder="1" applyAlignment="1">
      <alignment horizontal="right"/>
    </xf>
    <xf numFmtId="164" fontId="8" fillId="0" borderId="41" xfId="0" applyNumberFormat="1" applyFont="1" applyFill="1" applyBorder="1" applyAlignment="1">
      <alignment horizontal="right"/>
    </xf>
    <xf numFmtId="164" fontId="10" fillId="0" borderId="13" xfId="0" applyNumberFormat="1" applyFont="1" applyFill="1" applyBorder="1" applyAlignment="1">
      <alignment horizontal="center"/>
    </xf>
    <xf numFmtId="0" fontId="8" fillId="0" borderId="0" xfId="0" applyFont="1" applyFill="1" applyBorder="1" applyAlignment="1">
      <alignment/>
    </xf>
    <xf numFmtId="164" fontId="8" fillId="0" borderId="19" xfId="0" applyNumberFormat="1" applyFont="1" applyFill="1" applyBorder="1" applyAlignment="1">
      <alignment horizontal="right"/>
    </xf>
    <xf numFmtId="164" fontId="8" fillId="0" borderId="26" xfId="0" applyNumberFormat="1" applyFont="1" applyFill="1" applyBorder="1" applyAlignment="1">
      <alignment horizontal="right"/>
    </xf>
    <xf numFmtId="164" fontId="8" fillId="0" borderId="30" xfId="0" applyNumberFormat="1" applyFont="1" applyFill="1" applyBorder="1" applyAlignment="1">
      <alignment horizontal="right"/>
    </xf>
    <xf numFmtId="164" fontId="10" fillId="0" borderId="42" xfId="0" applyNumberFormat="1" applyFont="1" applyFill="1" applyBorder="1" applyAlignment="1">
      <alignment horizontal="center"/>
    </xf>
    <xf numFmtId="0" fontId="0" fillId="0" borderId="19" xfId="0" applyFill="1" applyBorder="1" applyAlignment="1">
      <alignment/>
    </xf>
    <xf numFmtId="0" fontId="0" fillId="0" borderId="26" xfId="0" applyFill="1" applyBorder="1" applyAlignment="1">
      <alignment/>
    </xf>
    <xf numFmtId="1" fontId="0" fillId="0" borderId="19" xfId="0" applyNumberFormat="1" applyFill="1" applyBorder="1" applyAlignment="1">
      <alignment horizontal="center"/>
    </xf>
    <xf numFmtId="1" fontId="0" fillId="0" borderId="42" xfId="0" applyNumberFormat="1" applyFill="1" applyBorder="1" applyAlignment="1">
      <alignment horizontal="center"/>
    </xf>
    <xf numFmtId="0" fontId="2" fillId="33" borderId="35" xfId="0" applyFont="1" applyFill="1" applyBorder="1" applyAlignment="1">
      <alignment/>
    </xf>
    <xf numFmtId="0" fontId="5" fillId="33" borderId="25" xfId="0" applyFont="1" applyFill="1" applyBorder="1" applyAlignment="1">
      <alignment/>
    </xf>
    <xf numFmtId="0" fontId="8" fillId="33" borderId="25" xfId="0" applyFont="1" applyFill="1" applyBorder="1" applyAlignment="1">
      <alignment/>
    </xf>
    <xf numFmtId="0" fontId="2" fillId="33" borderId="35" xfId="0" applyFont="1" applyFill="1" applyBorder="1" applyAlignment="1">
      <alignment horizontal="center"/>
    </xf>
    <xf numFmtId="0" fontId="2" fillId="33" borderId="25" xfId="0" applyFont="1" applyFill="1" applyBorder="1" applyAlignment="1">
      <alignment horizontal="center"/>
    </xf>
    <xf numFmtId="0" fontId="2" fillId="33" borderId="41" xfId="0" applyFont="1" applyFill="1" applyBorder="1" applyAlignment="1">
      <alignment horizontal="center"/>
    </xf>
    <xf numFmtId="0" fontId="2" fillId="33" borderId="13" xfId="0" applyFont="1" applyFill="1" applyBorder="1" applyAlignment="1">
      <alignment horizontal="center"/>
    </xf>
    <xf numFmtId="0" fontId="14" fillId="33" borderId="22" xfId="0" applyFont="1" applyFill="1" applyBorder="1" applyAlignment="1">
      <alignment/>
    </xf>
    <xf numFmtId="0" fontId="8" fillId="33" borderId="20" xfId="0" applyFont="1" applyFill="1" applyBorder="1" applyAlignment="1">
      <alignment/>
    </xf>
    <xf numFmtId="164" fontId="14" fillId="33" borderId="22"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0" xfId="0" applyNumberFormat="1" applyFont="1" applyFill="1" applyBorder="1" applyAlignment="1" applyProtection="1">
      <alignment horizontal="center" vertical="center"/>
      <protection locked="0"/>
    </xf>
    <xf numFmtId="1" fontId="2" fillId="6" borderId="28" xfId="0" applyNumberFormat="1" applyFont="1" applyFill="1" applyBorder="1" applyAlignment="1" applyProtection="1">
      <alignment horizontal="center" vertical="center"/>
      <protection locked="0"/>
    </xf>
    <xf numFmtId="0" fontId="5" fillId="0" borderId="25" xfId="0" applyFont="1" applyFill="1" applyBorder="1" applyAlignment="1">
      <alignment horizontal="center" vertical="center"/>
    </xf>
    <xf numFmtId="0" fontId="5" fillId="0" borderId="41" xfId="0" applyFont="1" applyFill="1" applyBorder="1" applyAlignment="1" applyProtection="1">
      <alignment horizontal="center" vertical="center"/>
      <protection locked="0"/>
    </xf>
    <xf numFmtId="0" fontId="0" fillId="0" borderId="0" xfId="0" applyFill="1" applyBorder="1" applyAlignment="1">
      <alignment/>
    </xf>
    <xf numFmtId="0" fontId="0" fillId="0" borderId="16" xfId="0" applyFill="1" applyBorder="1" applyAlignment="1">
      <alignment/>
    </xf>
    <xf numFmtId="0" fontId="0" fillId="10" borderId="23" xfId="0" applyFont="1" applyFill="1" applyBorder="1" applyAlignment="1">
      <alignment/>
    </xf>
    <xf numFmtId="0" fontId="12" fillId="6" borderId="20" xfId="0" applyFont="1" applyFill="1" applyBorder="1" applyAlignment="1" applyProtection="1">
      <alignment horizontal="center" vertical="center"/>
      <protection locked="0"/>
    </xf>
    <xf numFmtId="0" fontId="12" fillId="6" borderId="20" xfId="0" applyFont="1" applyFill="1" applyBorder="1" applyAlignment="1" applyProtection="1">
      <alignment horizontal="center"/>
      <protection locked="0"/>
    </xf>
    <xf numFmtId="1" fontId="12" fillId="6" borderId="28" xfId="0" applyNumberFormat="1" applyFont="1" applyFill="1" applyBorder="1" applyAlignment="1" applyProtection="1">
      <alignment horizontal="center"/>
      <protection locked="0"/>
    </xf>
    <xf numFmtId="0" fontId="12" fillId="6" borderId="22" xfId="0" applyFont="1" applyFill="1" applyBorder="1" applyAlignment="1" applyProtection="1">
      <alignment horizontal="center"/>
      <protection locked="0"/>
    </xf>
    <xf numFmtId="1" fontId="12" fillId="10" borderId="20" xfId="0" applyNumberFormat="1" applyFont="1" applyFill="1" applyBorder="1" applyAlignment="1" applyProtection="1">
      <alignment horizontal="center"/>
      <protection locked="0"/>
    </xf>
    <xf numFmtId="1" fontId="12" fillId="6" borderId="22" xfId="0" applyNumberFormat="1" applyFont="1" applyFill="1" applyBorder="1" applyAlignment="1" applyProtection="1">
      <alignment horizontal="center" vertical="center"/>
      <protection locked="0"/>
    </xf>
    <xf numFmtId="0" fontId="12" fillId="6" borderId="22"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5" fillId="0" borderId="45" xfId="0" applyFont="1" applyFill="1" applyBorder="1" applyAlignment="1">
      <alignment/>
    </xf>
    <xf numFmtId="0" fontId="43" fillId="33" borderId="45" xfId="0" applyFont="1" applyFill="1" applyBorder="1" applyAlignment="1">
      <alignment/>
    </xf>
    <xf numFmtId="1" fontId="12" fillId="0" borderId="40"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166" fontId="9" fillId="0" borderId="20" xfId="0" applyNumberFormat="1"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1" fontId="9" fillId="0" borderId="20" xfId="0" applyNumberFormat="1" applyFont="1" applyFill="1" applyBorder="1" applyAlignment="1" applyProtection="1">
      <alignment horizontal="center" vertical="center"/>
      <protection locked="0"/>
    </xf>
    <xf numFmtId="0" fontId="43" fillId="0" borderId="23"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25" xfId="0" applyBorder="1" applyAlignment="1">
      <alignment/>
    </xf>
    <xf numFmtId="0" fontId="0" fillId="0" borderId="41" xfId="0" applyBorder="1" applyAlignment="1">
      <alignment/>
    </xf>
    <xf numFmtId="0" fontId="55" fillId="0" borderId="14" xfId="0" applyFont="1" applyFill="1" applyBorder="1" applyAlignment="1">
      <alignment/>
    </xf>
    <xf numFmtId="0" fontId="10"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5" fillId="0" borderId="14" xfId="0" applyFont="1" applyFill="1" applyBorder="1" applyAlignment="1" applyProtection="1">
      <alignment/>
      <protection locked="0"/>
    </xf>
    <xf numFmtId="0" fontId="3" fillId="0" borderId="17"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4"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7" fillId="0" borderId="0" xfId="0" applyFont="1" applyFill="1" applyBorder="1" applyAlignment="1">
      <alignment horizontal="right"/>
    </xf>
    <xf numFmtId="0" fontId="5" fillId="0" borderId="17" xfId="0" applyFont="1" applyFill="1" applyBorder="1" applyAlignment="1" applyProtection="1">
      <alignment/>
      <protection locked="0"/>
    </xf>
    <xf numFmtId="0" fontId="4" fillId="33" borderId="25" xfId="0" applyFont="1" applyFill="1" applyBorder="1" applyAlignment="1">
      <alignment horizontal="right"/>
    </xf>
    <xf numFmtId="0" fontId="3" fillId="0" borderId="0" xfId="0" applyFont="1" applyFill="1" applyBorder="1" applyAlignment="1">
      <alignment horizontal="right"/>
    </xf>
    <xf numFmtId="0" fontId="8" fillId="0" borderId="10"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0" xfId="0" applyNumberFormat="1" applyFont="1" applyFill="1" applyBorder="1" applyAlignment="1">
      <alignment horizontal="center"/>
    </xf>
    <xf numFmtId="0" fontId="78" fillId="0" borderId="0" xfId="0" applyFont="1" applyAlignment="1">
      <alignment/>
    </xf>
    <xf numFmtId="0" fontId="5" fillId="0" borderId="44" xfId="0" applyFont="1" applyBorder="1" applyAlignment="1" applyProtection="1">
      <alignment/>
      <protection/>
    </xf>
    <xf numFmtId="0" fontId="8" fillId="0" borderId="45" xfId="0" applyFont="1" applyBorder="1" applyAlignment="1" applyProtection="1">
      <alignment horizontal="left"/>
      <protection/>
    </xf>
    <xf numFmtId="0" fontId="5" fillId="0" borderId="45" xfId="0" applyFont="1" applyBorder="1" applyAlignment="1" applyProtection="1">
      <alignment horizontal="center"/>
      <protection/>
    </xf>
    <xf numFmtId="0" fontId="5" fillId="0" borderId="45" xfId="0" applyFont="1" applyBorder="1" applyAlignment="1" applyProtection="1">
      <alignment horizontal="center"/>
      <protection locked="0"/>
    </xf>
    <xf numFmtId="0" fontId="3" fillId="0" borderId="45" xfId="0" applyFont="1" applyBorder="1" applyAlignment="1" applyProtection="1">
      <alignment horizontal="center"/>
      <protection locked="0"/>
    </xf>
    <xf numFmtId="164" fontId="4" fillId="0" borderId="40" xfId="0" applyNumberFormat="1" applyFont="1" applyBorder="1" applyAlignment="1">
      <alignment horizontal="center"/>
    </xf>
    <xf numFmtId="1" fontId="2" fillId="0" borderId="0" xfId="0" applyNumberFormat="1" applyFont="1" applyFill="1" applyBorder="1" applyAlignment="1" applyProtection="1">
      <alignment horizontal="center"/>
      <protection locked="0"/>
    </xf>
    <xf numFmtId="0" fontId="0" fillId="0" borderId="0" xfId="0" applyFill="1" applyBorder="1" applyAlignment="1" applyProtection="1">
      <alignment/>
      <protection locked="0"/>
    </xf>
    <xf numFmtId="0" fontId="5" fillId="0" borderId="33" xfId="0" applyFont="1" applyFill="1" applyBorder="1" applyAlignment="1" applyProtection="1">
      <alignment horizontal="left"/>
      <protection locked="0"/>
    </xf>
    <xf numFmtId="1" fontId="2" fillId="0" borderId="10" xfId="0" applyNumberFormat="1" applyFont="1" applyFill="1" applyBorder="1" applyAlignment="1" applyProtection="1">
      <alignment horizontal="center"/>
      <protection locked="0"/>
    </xf>
    <xf numFmtId="0" fontId="0" fillId="0" borderId="27" xfId="0" applyFill="1" applyBorder="1" applyAlignment="1">
      <alignment horizontal="left"/>
    </xf>
    <xf numFmtId="1" fontId="3" fillId="0" borderId="31" xfId="0" applyNumberFormat="1" applyFont="1" applyFill="1" applyBorder="1" applyAlignment="1" applyProtection="1">
      <alignment horizontal="center"/>
      <protection locked="0"/>
    </xf>
    <xf numFmtId="164" fontId="5" fillId="0" borderId="32" xfId="0" applyNumberFormat="1" applyFont="1" applyFill="1" applyBorder="1" applyAlignment="1">
      <alignment horizontal="center"/>
    </xf>
    <xf numFmtId="0" fontId="11" fillId="0" borderId="12" xfId="0" applyFont="1" applyFill="1" applyBorder="1" applyAlignment="1" applyProtection="1">
      <alignment horizontal="left"/>
      <protection/>
    </xf>
    <xf numFmtId="164" fontId="5" fillId="0" borderId="15" xfId="0" applyNumberFormat="1" applyFont="1" applyFill="1" applyBorder="1" applyAlignment="1">
      <alignment horizontal="center"/>
    </xf>
    <xf numFmtId="0" fontId="4" fillId="0" borderId="33" xfId="0" applyFont="1" applyFill="1" applyBorder="1" applyAlignment="1" applyProtection="1">
      <alignment horizontal="left"/>
      <protection locked="0"/>
    </xf>
    <xf numFmtId="0" fontId="5" fillId="0" borderId="10" xfId="0" applyFont="1" applyFill="1" applyBorder="1" applyAlignment="1" applyProtection="1">
      <alignment horizontal="center"/>
      <protection/>
    </xf>
    <xf numFmtId="164" fontId="8" fillId="0" borderId="47" xfId="0" applyNumberFormat="1" applyFont="1" applyFill="1" applyBorder="1" applyAlignment="1">
      <alignment horizontal="center"/>
    </xf>
    <xf numFmtId="164" fontId="8" fillId="0" borderId="49" xfId="0" applyNumberFormat="1" applyFont="1" applyFill="1" applyBorder="1" applyAlignment="1">
      <alignment horizontal="center"/>
    </xf>
    <xf numFmtId="164" fontId="8" fillId="0" borderId="34" xfId="0" applyNumberFormat="1" applyFont="1" applyFill="1" applyBorder="1" applyAlignment="1">
      <alignment horizontal="center"/>
    </xf>
    <xf numFmtId="0" fontId="2" fillId="10" borderId="34" xfId="0" applyFont="1" applyFill="1" applyBorder="1" applyAlignment="1" applyProtection="1">
      <alignment horizontal="center"/>
      <protection locked="0"/>
    </xf>
    <xf numFmtId="166" fontId="2" fillId="10" borderId="34" xfId="0" applyNumberFormat="1" applyFont="1" applyFill="1" applyBorder="1" applyAlignment="1" applyProtection="1">
      <alignment horizontal="center"/>
      <protection locked="0"/>
    </xf>
    <xf numFmtId="0" fontId="5" fillId="0" borderId="22" xfId="0" applyFont="1" applyBorder="1" applyAlignment="1" applyProtection="1">
      <alignment/>
      <protection/>
    </xf>
    <xf numFmtId="0" fontId="8" fillId="0" borderId="20" xfId="0" applyFont="1" applyBorder="1" applyAlignment="1" applyProtection="1">
      <alignment horizontal="left"/>
      <protection/>
    </xf>
    <xf numFmtId="0" fontId="5" fillId="0" borderId="20" xfId="0" applyFont="1" applyBorder="1" applyAlignment="1" applyProtection="1">
      <alignment horizontal="centerContinuous"/>
      <protection/>
    </xf>
    <xf numFmtId="0" fontId="5" fillId="0" borderId="20" xfId="0" applyFont="1" applyBorder="1" applyAlignment="1" applyProtection="1">
      <alignment horizontal="center"/>
      <protection/>
    </xf>
    <xf numFmtId="0" fontId="5" fillId="0" borderId="20" xfId="0" applyFont="1" applyBorder="1" applyAlignment="1" applyProtection="1">
      <alignment horizontal="center"/>
      <protection locked="0"/>
    </xf>
    <xf numFmtId="164" fontId="4" fillId="0" borderId="28" xfId="0" applyNumberFormat="1" applyFont="1" applyBorder="1" applyAlignment="1">
      <alignment horizontal="center"/>
    </xf>
    <xf numFmtId="0" fontId="3" fillId="0" borderId="12" xfId="0" applyFont="1" applyFill="1" applyBorder="1" applyAlignment="1" applyProtection="1">
      <alignment/>
      <protection locked="0"/>
    </xf>
    <xf numFmtId="0" fontId="5" fillId="34" borderId="14" xfId="0" applyFont="1" applyFill="1" applyBorder="1" applyAlignment="1" applyProtection="1">
      <alignment/>
      <protection locked="0"/>
    </xf>
    <xf numFmtId="0" fontId="5" fillId="34" borderId="27" xfId="0" applyFont="1" applyFill="1" applyBorder="1" applyAlignment="1" applyProtection="1">
      <alignment/>
      <protection locked="0"/>
    </xf>
    <xf numFmtId="0" fontId="53" fillId="34" borderId="31" xfId="0" applyFont="1" applyFill="1" applyBorder="1" applyAlignment="1">
      <alignment/>
    </xf>
    <xf numFmtId="0" fontId="5" fillId="34" borderId="12" xfId="0" applyFont="1" applyFill="1" applyBorder="1" applyAlignment="1" applyProtection="1">
      <alignment/>
      <protection locked="0"/>
    </xf>
    <xf numFmtId="0" fontId="3" fillId="0" borderId="47" xfId="0" applyFont="1" applyBorder="1" applyAlignment="1">
      <alignment/>
    </xf>
    <xf numFmtId="0" fontId="0" fillId="0" borderId="50"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24" xfId="0" applyBorder="1" applyAlignment="1">
      <alignment horizontal="right"/>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1" fontId="0" fillId="0" borderId="53" xfId="0" applyNumberFormat="1" applyBorder="1" applyAlignment="1">
      <alignment/>
    </xf>
    <xf numFmtId="0" fontId="3" fillId="0" borderId="49" xfId="0" applyFont="1" applyBorder="1" applyAlignment="1">
      <alignment/>
    </xf>
    <xf numFmtId="1" fontId="0" fillId="0" borderId="49" xfId="0" applyNumberFormat="1" applyBorder="1" applyAlignment="1">
      <alignment/>
    </xf>
    <xf numFmtId="0" fontId="0" fillId="0" borderId="49" xfId="0" applyBorder="1" applyAlignment="1">
      <alignment/>
    </xf>
    <xf numFmtId="1" fontId="3" fillId="0" borderId="0" xfId="0" applyNumberFormat="1" applyFont="1" applyAlignment="1">
      <alignment/>
    </xf>
    <xf numFmtId="0" fontId="95" fillId="0" borderId="0" xfId="0" applyFont="1" applyAlignment="1">
      <alignment/>
    </xf>
    <xf numFmtId="0" fontId="96" fillId="0" borderId="0" xfId="0" applyFont="1" applyAlignment="1">
      <alignment vertical="top" wrapText="1"/>
    </xf>
    <xf numFmtId="0" fontId="4" fillId="0" borderId="0" xfId="0" applyFont="1" applyAlignment="1">
      <alignment/>
    </xf>
    <xf numFmtId="0" fontId="3" fillId="0" borderId="52" xfId="0" applyFont="1" applyBorder="1" applyAlignment="1">
      <alignment/>
    </xf>
    <xf numFmtId="0" fontId="3" fillId="0" borderId="50" xfId="0" applyFont="1" applyBorder="1" applyAlignment="1">
      <alignment/>
    </xf>
    <xf numFmtId="0" fontId="3" fillId="0" borderId="53" xfId="0" applyFont="1" applyBorder="1" applyAlignment="1">
      <alignment/>
    </xf>
    <xf numFmtId="0" fontId="3" fillId="0" borderId="51" xfId="0" applyFont="1" applyBorder="1" applyAlignment="1">
      <alignment/>
    </xf>
    <xf numFmtId="1" fontId="3" fillId="0" borderId="0" xfId="0" applyNumberFormat="1" applyFont="1" applyAlignment="1">
      <alignment/>
    </xf>
    <xf numFmtId="0" fontId="5" fillId="10" borderId="14" xfId="0" applyFont="1" applyFill="1" applyBorder="1" applyAlignment="1" applyProtection="1">
      <alignment/>
      <protection locked="0"/>
    </xf>
    <xf numFmtId="0" fontId="53" fillId="10" borderId="0" xfId="0" applyFont="1" applyFill="1" applyBorder="1" applyAlignment="1">
      <alignment/>
    </xf>
    <xf numFmtId="0" fontId="49" fillId="10" borderId="0" xfId="0" applyFont="1" applyFill="1" applyBorder="1" applyAlignment="1">
      <alignment/>
    </xf>
    <xf numFmtId="166" fontId="10" fillId="10" borderId="24" xfId="0" applyNumberFormat="1" applyFont="1" applyFill="1" applyBorder="1" applyAlignment="1" applyProtection="1">
      <alignment horizontal="center"/>
      <protection locked="0"/>
    </xf>
    <xf numFmtId="0" fontId="43" fillId="10" borderId="0" xfId="0" applyFont="1" applyFill="1" applyAlignment="1">
      <alignment/>
    </xf>
    <xf numFmtId="0" fontId="3" fillId="10" borderId="14" xfId="0" applyFont="1" applyFill="1" applyBorder="1" applyAlignment="1" applyProtection="1">
      <alignment horizontal="left"/>
      <protection/>
    </xf>
    <xf numFmtId="0" fontId="78" fillId="33" borderId="0" xfId="0" applyFont="1" applyFill="1" applyBorder="1" applyAlignment="1">
      <alignment horizontal="center" vertical="center" wrapText="1"/>
    </xf>
    <xf numFmtId="0" fontId="96" fillId="0" borderId="0" xfId="0" applyFont="1" applyAlignment="1">
      <alignment vertical="top" wrapText="1"/>
    </xf>
    <xf numFmtId="0" fontId="85" fillId="6" borderId="22" xfId="0" applyFont="1" applyFill="1" applyBorder="1" applyAlignment="1">
      <alignment horizontal="center"/>
    </xf>
    <xf numFmtId="0" fontId="85" fillId="6" borderId="28" xfId="0" applyFont="1" applyFill="1" applyBorder="1" applyAlignment="1">
      <alignment horizontal="center"/>
    </xf>
    <xf numFmtId="0" fontId="97" fillId="33" borderId="0"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center" wrapText="1"/>
    </xf>
    <xf numFmtId="0" fontId="0" fillId="0" borderId="0" xfId="0" applyAlignment="1">
      <alignment wrapText="1"/>
    </xf>
    <xf numFmtId="0" fontId="82" fillId="33" borderId="0" xfId="0" applyFont="1" applyFill="1" applyBorder="1" applyAlignment="1">
      <alignment horizontal="center" wrapText="1"/>
    </xf>
    <xf numFmtId="0" fontId="0" fillId="33" borderId="0" xfId="0" applyFill="1" applyBorder="1" applyAlignment="1">
      <alignment horizontal="center" wrapText="1"/>
    </xf>
    <xf numFmtId="0" fontId="0" fillId="33" borderId="0" xfId="0" applyFill="1" applyBorder="1" applyAlignment="1">
      <alignment horizontal="center" vertical="center" wrapText="1"/>
    </xf>
    <xf numFmtId="0" fontId="50" fillId="34" borderId="54" xfId="0" applyFont="1" applyFill="1" applyBorder="1" applyAlignment="1">
      <alignment horizontal="center"/>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10" borderId="54"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7" fillId="33" borderId="35" xfId="0" applyFont="1" applyFill="1" applyBorder="1" applyAlignment="1">
      <alignment horizontal="center"/>
    </xf>
    <xf numFmtId="0" fontId="57" fillId="33" borderId="25" xfId="0" applyFont="1" applyFill="1" applyBorder="1" applyAlignment="1">
      <alignment horizontal="center"/>
    </xf>
    <xf numFmtId="0" fontId="85" fillId="6" borderId="23" xfId="0" applyFont="1" applyFill="1" applyBorder="1" applyAlignment="1">
      <alignment horizontal="center"/>
    </xf>
    <xf numFmtId="14" fontId="78" fillId="34" borderId="0" xfId="0" applyNumberFormat="1" applyFont="1" applyFill="1" applyAlignment="1">
      <alignment horizontal="center"/>
    </xf>
    <xf numFmtId="0" fontId="3" fillId="0" borderId="0" xfId="0" applyNumberFormat="1" applyFont="1" applyAlignment="1">
      <alignment vertical="center" wrapText="1"/>
    </xf>
    <xf numFmtId="0" fontId="0" fillId="0" borderId="0" xfId="0" applyAlignment="1">
      <alignment vertical="center" wrapText="1"/>
    </xf>
    <xf numFmtId="0" fontId="3" fillId="33" borderId="0" xfId="0" applyFont="1" applyFill="1" applyBorder="1" applyAlignment="1">
      <alignment vertical="center"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4625"/>
          <c:y val="0"/>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'B-alue'!$D$79:$H$79</c:f>
              <c:strCache/>
            </c:strRef>
          </c:cat>
          <c:val>
            <c:numRef>
              <c:f>'B-alue'!$D$83:$H$83</c:f>
              <c:numCache/>
            </c:numRef>
          </c:val>
        </c:ser>
        <c:axId val="66246722"/>
        <c:axId val="59349587"/>
      </c:barChart>
      <c:catAx>
        <c:axId val="66246722"/>
        <c:scaling>
          <c:orientation val="minMax"/>
        </c:scaling>
        <c:axPos val="b"/>
        <c:delete val="0"/>
        <c:numFmt formatCode="General" sourceLinked="1"/>
        <c:majorTickMark val="out"/>
        <c:minorTickMark val="none"/>
        <c:tickLblPos val="nextTo"/>
        <c:spPr>
          <a:ln w="3175">
            <a:solidFill>
              <a:srgbClr val="000000"/>
            </a:solidFill>
          </a:ln>
        </c:spPr>
        <c:crossAx val="59349587"/>
        <c:crosses val="autoZero"/>
        <c:auto val="1"/>
        <c:lblOffset val="100"/>
        <c:tickLblSkip val="1"/>
        <c:noMultiLvlLbl val="0"/>
      </c:catAx>
      <c:valAx>
        <c:axId val="59349587"/>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2467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83</xdr:row>
      <xdr:rowOff>200025</xdr:rowOff>
    </xdr:from>
    <xdr:to>
      <xdr:col>9</xdr:col>
      <xdr:colOff>400050</xdr:colOff>
      <xdr:row>105</xdr:row>
      <xdr:rowOff>0</xdr:rowOff>
    </xdr:to>
    <xdr:graphicFrame>
      <xdr:nvGraphicFramePr>
        <xdr:cNvPr id="1" name="Chart 6"/>
        <xdr:cNvGraphicFramePr/>
      </xdr:nvGraphicFramePr>
      <xdr:xfrm>
        <a:off x="19050" y="17554575"/>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14425"/>
        </a:xfrm>
        <a:prstGeom prst="rect">
          <a:avLst/>
        </a:prstGeom>
        <a:noFill/>
        <a:ln w="9525" cmpd="sng">
          <a:noFill/>
        </a:ln>
      </xdr:spPr>
    </xdr:pic>
    <xdr:clientData/>
  </xdr:twoCellAnchor>
  <xdr:twoCellAnchor>
    <xdr:from>
      <xdr:col>0</xdr:col>
      <xdr:colOff>104775</xdr:colOff>
      <xdr:row>54</xdr:row>
      <xdr:rowOff>85725</xdr:rowOff>
    </xdr:from>
    <xdr:to>
      <xdr:col>0</xdr:col>
      <xdr:colOff>1066800</xdr:colOff>
      <xdr:row>59</xdr:row>
      <xdr:rowOff>171450</xdr:rowOff>
    </xdr:to>
    <xdr:pic>
      <xdr:nvPicPr>
        <xdr:cNvPr id="3" name="Picture 145" descr="ProAgria-logoPIENI"/>
        <xdr:cNvPicPr preferRelativeResize="1">
          <a:picLocks noChangeAspect="1"/>
        </xdr:cNvPicPr>
      </xdr:nvPicPr>
      <xdr:blipFill>
        <a:blip r:embed="rId2"/>
        <a:stretch>
          <a:fillRect/>
        </a:stretch>
      </xdr:blipFill>
      <xdr:spPr>
        <a:xfrm>
          <a:off x="104775" y="113633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MKL\2008\KASVI2007%20kate%20laskelmat%2022.2.2008%20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ERIKOISASIANTUNTIJA\2011\Kuolutukset\Katelaskelmapohja%202011%20C1-alue%2017.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uttuvat kustannukset"/>
      <sheetName val="C1-alue"/>
    </sheetNames>
    <sheetDataSet>
      <sheetData sheetId="1">
        <row r="12">
          <cell r="D12">
            <v>1500</v>
          </cell>
        </row>
        <row r="13">
          <cell r="D13">
            <v>2500</v>
          </cell>
        </row>
        <row r="16">
          <cell r="D16">
            <v>17900</v>
          </cell>
        </row>
        <row r="46">
          <cell r="D46">
            <v>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tabSelected="1" zoomScale="70" zoomScaleNormal="70" zoomScaleSheetLayoutView="100" zoomScalePageLayoutView="40" workbookViewId="0" topLeftCell="A1">
      <selection activeCell="I26" sqref="I26"/>
    </sheetView>
  </sheetViews>
  <sheetFormatPr defaultColWidth="9.00390625" defaultRowHeight="15.75"/>
  <cols>
    <col min="1" max="1" width="13.75390625" style="22" customWidth="1"/>
    <col min="2" max="2" width="5.25390625" style="22" customWidth="1"/>
    <col min="3" max="3" width="10.75390625" style="22"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1" max="21" width="11.375" style="0" customWidth="1"/>
    <col min="22" max="22" width="38.37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56" customWidth="1"/>
    <col min="29" max="29" width="11.625" style="7" customWidth="1"/>
    <col min="30" max="30" width="10.875" style="52" customWidth="1"/>
    <col min="31" max="33" width="9.00390625" style="7" customWidth="1"/>
  </cols>
  <sheetData>
    <row r="1" spans="1:33" ht="23.25" customHeight="1" thickBot="1">
      <c r="A1" s="364" t="s">
        <v>159</v>
      </c>
      <c r="B1" s="140"/>
      <c r="C1" s="140"/>
      <c r="D1" s="596">
        <v>41577</v>
      </c>
      <c r="E1" s="596"/>
      <c r="F1" s="596"/>
      <c r="G1" s="596"/>
      <c r="H1" s="596"/>
      <c r="I1" s="510" t="s">
        <v>161</v>
      </c>
      <c r="L1" s="577" t="s">
        <v>163</v>
      </c>
      <c r="M1" s="577"/>
      <c r="N1" s="577"/>
      <c r="O1" s="577"/>
      <c r="P1" s="577"/>
      <c r="Q1" s="577"/>
      <c r="R1" s="577"/>
      <c r="S1" s="577"/>
      <c r="T1" s="563"/>
      <c r="U1" s="7"/>
      <c r="AD1"/>
      <c r="AE1"/>
      <c r="AF1"/>
      <c r="AG1"/>
    </row>
    <row r="2" spans="1:33" ht="20.25" customHeight="1" thickBot="1">
      <c r="A2" s="541" t="s">
        <v>194</v>
      </c>
      <c r="B2" s="542"/>
      <c r="C2" s="359"/>
      <c r="D2" s="360" t="s">
        <v>153</v>
      </c>
      <c r="E2" s="203">
        <v>0.412</v>
      </c>
      <c r="F2" s="44"/>
      <c r="G2" s="205" t="s">
        <v>152</v>
      </c>
      <c r="H2" s="362"/>
      <c r="J2" s="206"/>
      <c r="K2" s="206"/>
      <c r="L2" s="577"/>
      <c r="M2" s="577"/>
      <c r="N2" s="577"/>
      <c r="O2" s="577"/>
      <c r="P2" s="577"/>
      <c r="Q2" s="577"/>
      <c r="R2" s="577"/>
      <c r="S2" s="577"/>
      <c r="T2" s="563"/>
      <c r="U2" s="7"/>
      <c r="AD2"/>
      <c r="AE2"/>
      <c r="AF2"/>
      <c r="AG2"/>
    </row>
    <row r="3" spans="1:33" ht="20.25" customHeight="1" thickBot="1">
      <c r="A3" s="543"/>
      <c r="B3" s="363"/>
      <c r="C3" s="361"/>
      <c r="D3" s="114"/>
      <c r="E3" s="201"/>
      <c r="F3" s="44"/>
      <c r="G3" s="208"/>
      <c r="H3" s="363"/>
      <c r="J3" s="209"/>
      <c r="K3" s="217"/>
      <c r="L3" s="577"/>
      <c r="M3" s="577"/>
      <c r="N3" s="577"/>
      <c r="O3" s="577"/>
      <c r="P3" s="577"/>
      <c r="Q3" s="577"/>
      <c r="R3" s="577"/>
      <c r="S3" s="577"/>
      <c r="T3" s="563"/>
      <c r="U3" s="7"/>
      <c r="V3" s="56"/>
      <c r="X3" s="52"/>
      <c r="AB3"/>
      <c r="AC3"/>
      <c r="AD3"/>
      <c r="AE3"/>
      <c r="AF3"/>
      <c r="AG3"/>
    </row>
    <row r="4" spans="1:33" ht="20.25" customHeight="1">
      <c r="A4" s="543"/>
      <c r="B4" s="363"/>
      <c r="C4" s="361"/>
      <c r="D4" s="114"/>
      <c r="E4" s="201"/>
      <c r="F4" s="44"/>
      <c r="G4" s="74"/>
      <c r="H4" s="126"/>
      <c r="J4" s="210"/>
      <c r="K4" s="217"/>
      <c r="L4" s="577"/>
      <c r="M4" s="577"/>
      <c r="N4" s="577"/>
      <c r="O4" s="577"/>
      <c r="P4" s="577"/>
      <c r="Q4" s="577"/>
      <c r="R4" s="577"/>
      <c r="S4" s="577"/>
      <c r="T4" s="563"/>
      <c r="U4" s="7"/>
      <c r="V4" s="56"/>
      <c r="X4" s="52"/>
      <c r="AB4"/>
      <c r="AC4"/>
      <c r="AD4"/>
      <c r="AE4"/>
      <c r="AF4"/>
      <c r="AG4"/>
    </row>
    <row r="5" spans="1:33" ht="20.25" customHeight="1">
      <c r="A5" s="540" t="s">
        <v>195</v>
      </c>
      <c r="B5" s="363"/>
      <c r="C5" s="361"/>
      <c r="D5" s="114"/>
      <c r="E5" s="201">
        <v>0.315</v>
      </c>
      <c r="F5" s="44"/>
      <c r="G5" s="74"/>
      <c r="H5" s="126"/>
      <c r="J5" s="210"/>
      <c r="K5" s="217"/>
      <c r="L5" s="577"/>
      <c r="M5" s="577"/>
      <c r="N5" s="577"/>
      <c r="O5" s="577"/>
      <c r="P5" s="577"/>
      <c r="Q5" s="577"/>
      <c r="R5" s="577"/>
      <c r="S5" s="577"/>
      <c r="T5" s="563"/>
      <c r="U5" s="7"/>
      <c r="V5" s="56"/>
      <c r="X5" s="52"/>
      <c r="AB5"/>
      <c r="AC5"/>
      <c r="AD5"/>
      <c r="AE5"/>
      <c r="AF5"/>
      <c r="AG5"/>
    </row>
    <row r="6" spans="1:33" ht="20.25" customHeight="1">
      <c r="A6" s="543" t="s">
        <v>196</v>
      </c>
      <c r="B6" s="363"/>
      <c r="C6" s="361"/>
      <c r="D6" s="114"/>
      <c r="E6" s="201">
        <v>0.462</v>
      </c>
      <c r="F6" s="44"/>
      <c r="G6" s="107"/>
      <c r="H6" s="125"/>
      <c r="J6" s="210"/>
      <c r="K6" s="217"/>
      <c r="L6" s="577"/>
      <c r="M6" s="577"/>
      <c r="N6" s="577"/>
      <c r="O6" s="577"/>
      <c r="P6" s="577"/>
      <c r="Q6" s="577"/>
      <c r="R6" s="577"/>
      <c r="S6" s="577"/>
      <c r="T6" s="563"/>
      <c r="U6" s="7"/>
      <c r="V6" s="56"/>
      <c r="X6" s="52"/>
      <c r="AB6"/>
      <c r="AC6"/>
      <c r="AD6"/>
      <c r="AE6"/>
      <c r="AF6"/>
      <c r="AG6"/>
    </row>
    <row r="7" spans="1:33" ht="20.25" customHeight="1">
      <c r="A7" s="543"/>
      <c r="B7" s="363"/>
      <c r="C7" s="361"/>
      <c r="D7" s="114"/>
      <c r="E7" s="211"/>
      <c r="F7" s="44"/>
      <c r="G7" s="74"/>
      <c r="H7" s="126"/>
      <c r="J7" s="210"/>
      <c r="K7" s="217"/>
      <c r="L7" s="577" t="s">
        <v>162</v>
      </c>
      <c r="M7" s="577"/>
      <c r="N7" s="577"/>
      <c r="O7" s="577"/>
      <c r="P7" s="577"/>
      <c r="Q7" s="577"/>
      <c r="R7" s="577"/>
      <c r="S7" s="577"/>
      <c r="T7" s="563"/>
      <c r="U7" s="7"/>
      <c r="V7" s="56"/>
      <c r="X7" s="52"/>
      <c r="AB7"/>
      <c r="AC7"/>
      <c r="AD7"/>
      <c r="AE7"/>
      <c r="AF7"/>
      <c r="AG7"/>
    </row>
    <row r="8" spans="1:33" ht="20.25" customHeight="1">
      <c r="A8" s="570" t="s">
        <v>198</v>
      </c>
      <c r="B8" s="571"/>
      <c r="C8" s="572"/>
      <c r="D8" s="80"/>
      <c r="E8" s="573">
        <v>0.205</v>
      </c>
      <c r="F8" s="574"/>
      <c r="G8" s="575"/>
      <c r="H8" s="83"/>
      <c r="J8" s="210"/>
      <c r="K8" s="217"/>
      <c r="L8" s="577"/>
      <c r="M8" s="577"/>
      <c r="N8" s="577"/>
      <c r="O8" s="577"/>
      <c r="P8" s="577"/>
      <c r="Q8" s="577"/>
      <c r="R8" s="577"/>
      <c r="S8" s="577"/>
      <c r="T8" s="563"/>
      <c r="U8" s="7"/>
      <c r="V8" s="56"/>
      <c r="X8" s="52"/>
      <c r="AB8"/>
      <c r="AC8"/>
      <c r="AD8"/>
      <c r="AE8"/>
      <c r="AF8"/>
      <c r="AG8"/>
    </row>
    <row r="9" spans="1:33" ht="20.25" customHeight="1" thickBot="1">
      <c r="A9" s="540" t="s">
        <v>197</v>
      </c>
      <c r="B9" s="363"/>
      <c r="C9" s="361"/>
      <c r="D9" s="114"/>
      <c r="E9" s="201">
        <v>0.44</v>
      </c>
      <c r="F9" s="108"/>
      <c r="G9" s="109"/>
      <c r="H9" s="126"/>
      <c r="J9" s="212"/>
      <c r="K9" s="236"/>
      <c r="P9" s="7"/>
      <c r="Q9" s="7"/>
      <c r="R9" s="7"/>
      <c r="S9" s="7"/>
      <c r="T9" s="7"/>
      <c r="U9" s="7"/>
      <c r="V9" s="56"/>
      <c r="X9" s="52"/>
      <c r="AB9"/>
      <c r="AC9"/>
      <c r="AD9"/>
      <c r="AE9"/>
      <c r="AF9"/>
      <c r="AG9"/>
    </row>
    <row r="10" spans="1:33" ht="20.25" customHeight="1" thickBot="1">
      <c r="A10" s="380" t="s">
        <v>156</v>
      </c>
      <c r="B10" s="487"/>
      <c r="C10" s="488"/>
      <c r="D10" s="487"/>
      <c r="E10" s="489">
        <v>0.265</v>
      </c>
      <c r="F10" s="108"/>
      <c r="G10" s="233"/>
      <c r="H10" s="83"/>
      <c r="J10" s="210"/>
      <c r="K10" s="234"/>
      <c r="P10" s="7"/>
      <c r="Q10" s="7"/>
      <c r="R10" s="7"/>
      <c r="S10" s="7"/>
      <c r="T10" s="7"/>
      <c r="U10" s="7"/>
      <c r="V10" s="56"/>
      <c r="X10" s="52"/>
      <c r="AB10"/>
      <c r="AC10"/>
      <c r="AD10"/>
      <c r="AE10"/>
      <c r="AF10"/>
      <c r="AG10"/>
    </row>
    <row r="11" spans="1:22" ht="31.5" customHeight="1" thickBot="1">
      <c r="A11" s="593" t="s">
        <v>141</v>
      </c>
      <c r="B11" s="594"/>
      <c r="C11" s="594"/>
      <c r="D11" s="594"/>
      <c r="E11" s="594"/>
      <c r="F11" s="594"/>
      <c r="G11" s="594"/>
      <c r="H11" s="594"/>
      <c r="I11" s="594"/>
      <c r="J11" s="594"/>
      <c r="K11" s="594"/>
      <c r="L11" s="594"/>
      <c r="M11" s="594"/>
      <c r="N11" s="594"/>
      <c r="O11" s="594"/>
      <c r="P11" s="594"/>
      <c r="Q11" s="594"/>
      <c r="R11" s="490"/>
      <c r="S11" s="491"/>
      <c r="T11" s="490"/>
      <c r="U11" s="491"/>
      <c r="V11" s="53" t="s">
        <v>135</v>
      </c>
    </row>
    <row r="12" spans="1:33" s="32" customFormat="1" ht="18.75" customHeight="1" thickBot="1">
      <c r="A12" s="492"/>
      <c r="B12" s="469"/>
      <c r="C12" s="469"/>
      <c r="D12" s="587" t="s">
        <v>0</v>
      </c>
      <c r="E12" s="588"/>
      <c r="F12" s="588"/>
      <c r="G12" s="588"/>
      <c r="H12" s="588"/>
      <c r="I12" s="589"/>
      <c r="J12" s="213"/>
      <c r="K12" s="213"/>
      <c r="L12" s="590" t="s">
        <v>78</v>
      </c>
      <c r="M12" s="591"/>
      <c r="N12" s="591"/>
      <c r="O12" s="591"/>
      <c r="P12" s="591"/>
      <c r="Q12" s="592"/>
      <c r="R12" s="595" t="s">
        <v>173</v>
      </c>
      <c r="S12" s="579"/>
      <c r="T12" s="578" t="s">
        <v>164</v>
      </c>
      <c r="U12" s="579"/>
      <c r="V12" s="564" t="s">
        <v>180</v>
      </c>
      <c r="W12"/>
      <c r="X12"/>
      <c r="Y12"/>
      <c r="Z12"/>
      <c r="AA12"/>
      <c r="AB12"/>
      <c r="AC12"/>
      <c r="AD12" s="54"/>
      <c r="AE12" s="46"/>
      <c r="AF12" s="46"/>
      <c r="AG12" s="46"/>
    </row>
    <row r="13" spans="1:31" ht="18.75" customHeight="1" thickBot="1">
      <c r="A13" s="220"/>
      <c r="B13" s="217"/>
      <c r="C13" s="217"/>
      <c r="D13" s="397" t="s">
        <v>39</v>
      </c>
      <c r="E13" s="154" t="s">
        <v>40</v>
      </c>
      <c r="F13" s="155" t="s">
        <v>41</v>
      </c>
      <c r="G13" s="156" t="s">
        <v>42</v>
      </c>
      <c r="H13" s="157" t="s">
        <v>43</v>
      </c>
      <c r="I13" s="156" t="s">
        <v>42</v>
      </c>
      <c r="J13" s="158" t="s">
        <v>41</v>
      </c>
      <c r="K13" s="365" t="s">
        <v>42</v>
      </c>
      <c r="L13" s="378"/>
      <c r="M13" s="154" t="s">
        <v>40</v>
      </c>
      <c r="N13" s="155" t="s">
        <v>41</v>
      </c>
      <c r="O13" s="156" t="s">
        <v>42</v>
      </c>
      <c r="P13" s="157" t="s">
        <v>43</v>
      </c>
      <c r="Q13" s="156" t="s">
        <v>42</v>
      </c>
      <c r="R13" s="61" t="s">
        <v>41</v>
      </c>
      <c r="S13" s="62" t="s">
        <v>42</v>
      </c>
      <c r="T13" s="61" t="s">
        <v>41</v>
      </c>
      <c r="U13" s="62" t="s">
        <v>42</v>
      </c>
      <c r="W13"/>
      <c r="X13"/>
      <c r="Y13"/>
      <c r="Z13"/>
      <c r="AA13"/>
      <c r="AB13"/>
      <c r="AC13"/>
      <c r="AD13" s="580" t="s">
        <v>131</v>
      </c>
      <c r="AE13" s="54"/>
    </row>
    <row r="14" spans="1:31" ht="18.75" customHeight="1" thickBot="1">
      <c r="A14" s="159" t="s">
        <v>36</v>
      </c>
      <c r="B14" s="214"/>
      <c r="C14" s="214"/>
      <c r="D14" s="463" t="s">
        <v>44</v>
      </c>
      <c r="E14" s="464"/>
      <c r="F14" s="465">
        <v>3000</v>
      </c>
      <c r="G14" s="466"/>
      <c r="H14" s="295">
        <v>4000</v>
      </c>
      <c r="I14" s="383"/>
      <c r="J14" s="295">
        <v>5000</v>
      </c>
      <c r="K14" s="466"/>
      <c r="L14" s="467"/>
      <c r="M14" s="464"/>
      <c r="N14" s="465">
        <v>2000</v>
      </c>
      <c r="O14" s="466"/>
      <c r="P14" s="295">
        <v>2500</v>
      </c>
      <c r="Q14" s="383"/>
      <c r="R14" s="295">
        <v>2000</v>
      </c>
      <c r="S14" s="261"/>
      <c r="T14" s="295">
        <v>2000</v>
      </c>
      <c r="U14" s="261"/>
      <c r="V14" s="544" t="s">
        <v>108</v>
      </c>
      <c r="W14" s="545" t="s">
        <v>109</v>
      </c>
      <c r="X14" s="546" t="s">
        <v>166</v>
      </c>
      <c r="Y14" s="547" t="s">
        <v>110</v>
      </c>
      <c r="Z14" s="548" t="s">
        <v>167</v>
      </c>
      <c r="AA14" s="548" t="s">
        <v>168</v>
      </c>
      <c r="AB14" s="549" t="s">
        <v>132</v>
      </c>
      <c r="AC14" s="547" t="s">
        <v>111</v>
      </c>
      <c r="AD14" s="580"/>
      <c r="AE14" s="57" t="s">
        <v>111</v>
      </c>
    </row>
    <row r="15" spans="1:31" ht="18.75" customHeight="1">
      <c r="A15" s="493" t="s">
        <v>33</v>
      </c>
      <c r="B15" s="217"/>
      <c r="C15" s="217"/>
      <c r="D15" s="398"/>
      <c r="E15" s="110"/>
      <c r="F15" s="111"/>
      <c r="G15" s="112"/>
      <c r="H15" s="113"/>
      <c r="I15" s="112"/>
      <c r="J15" s="33"/>
      <c r="K15" s="35"/>
      <c r="L15" s="380"/>
      <c r="M15" s="76"/>
      <c r="N15" s="77"/>
      <c r="O15" s="79"/>
      <c r="P15" s="78"/>
      <c r="Q15" s="79"/>
      <c r="R15" s="267"/>
      <c r="S15" s="269"/>
      <c r="T15" s="267"/>
      <c r="U15" s="269"/>
      <c r="V15" s="550" t="s">
        <v>112</v>
      </c>
      <c r="W15" s="550">
        <v>187</v>
      </c>
      <c r="X15" s="551">
        <v>0</v>
      </c>
      <c r="Y15" s="550">
        <v>220</v>
      </c>
      <c r="Z15" s="551">
        <v>93</v>
      </c>
      <c r="AA15" s="551">
        <v>34</v>
      </c>
      <c r="AB15" s="551">
        <v>0</v>
      </c>
      <c r="AC15" s="551">
        <f>+W15+X15+Y15+Z15+AA15+AB15</f>
        <v>534</v>
      </c>
      <c r="AD15" s="50">
        <v>141</v>
      </c>
      <c r="AE15" s="47">
        <f>AC15+AD15</f>
        <v>675</v>
      </c>
    </row>
    <row r="16" spans="1:31" ht="18.75" customHeight="1">
      <c r="A16" s="494" t="s">
        <v>45</v>
      </c>
      <c r="B16" s="217"/>
      <c r="C16" s="217"/>
      <c r="D16" s="399" t="s">
        <v>44</v>
      </c>
      <c r="E16" s="203">
        <v>0.33</v>
      </c>
      <c r="F16" s="113">
        <v>205</v>
      </c>
      <c r="G16" s="112">
        <f aca="true" t="shared" si="0" ref="G16:G25">E16*F16</f>
        <v>67.65</v>
      </c>
      <c r="H16" s="225">
        <v>205</v>
      </c>
      <c r="I16" s="112">
        <f aca="true" t="shared" si="1" ref="I16:I25">E16*H16</f>
        <v>67.65</v>
      </c>
      <c r="J16" s="34">
        <v>205</v>
      </c>
      <c r="K16" s="35">
        <f aca="true" t="shared" si="2" ref="K16:K25">E16*J16</f>
        <v>67.65</v>
      </c>
      <c r="L16" s="380"/>
      <c r="M16" s="224">
        <v>0.36</v>
      </c>
      <c r="N16" s="78">
        <v>205</v>
      </c>
      <c r="O16" s="79">
        <f aca="true" t="shared" si="3" ref="O16:O25">M16*N16</f>
        <v>73.8</v>
      </c>
      <c r="P16" s="225">
        <v>220</v>
      </c>
      <c r="Q16" s="79">
        <f>M16*P16</f>
        <v>79.2</v>
      </c>
      <c r="R16" s="371">
        <v>205</v>
      </c>
      <c r="S16" s="269">
        <f>M16*R16</f>
        <v>73.8</v>
      </c>
      <c r="T16" s="371">
        <v>205</v>
      </c>
      <c r="U16" s="269">
        <f aca="true" t="shared" si="4" ref="U16:U25">M16*T16</f>
        <v>73.8</v>
      </c>
      <c r="V16" s="552" t="s">
        <v>113</v>
      </c>
      <c r="W16" s="552">
        <v>187</v>
      </c>
      <c r="X16" s="553">
        <v>0</v>
      </c>
      <c r="Y16" s="552">
        <v>220</v>
      </c>
      <c r="Z16" s="553">
        <v>93</v>
      </c>
      <c r="AA16" s="553">
        <v>34</v>
      </c>
      <c r="AB16" s="553">
        <v>0</v>
      </c>
      <c r="AC16" s="553">
        <f aca="true" t="shared" si="5" ref="AC16:AC39">+W16+X16+Y16+Z16+AA16+AB16</f>
        <v>534</v>
      </c>
      <c r="AD16" s="50">
        <v>141</v>
      </c>
      <c r="AE16" s="47">
        <f aca="true" t="shared" si="6" ref="AE16:AE40">AC16+AD16</f>
        <v>675</v>
      </c>
    </row>
    <row r="17" spans="1:31" ht="18.75" customHeight="1">
      <c r="A17" s="494" t="s">
        <v>46</v>
      </c>
      <c r="B17" s="217"/>
      <c r="C17" s="217"/>
      <c r="D17" s="399" t="s">
        <v>44</v>
      </c>
      <c r="E17" s="224">
        <v>0.46</v>
      </c>
      <c r="F17" s="113">
        <v>0</v>
      </c>
      <c r="G17" s="112">
        <f t="shared" si="0"/>
        <v>0</v>
      </c>
      <c r="H17" s="225">
        <v>0</v>
      </c>
      <c r="I17" s="112">
        <f t="shared" si="1"/>
        <v>0</v>
      </c>
      <c r="J17" s="34">
        <v>0</v>
      </c>
      <c r="K17" s="35">
        <f t="shared" si="2"/>
        <v>0</v>
      </c>
      <c r="L17" s="380"/>
      <c r="M17" s="224">
        <v>0.65</v>
      </c>
      <c r="N17" s="78">
        <v>0</v>
      </c>
      <c r="O17" s="79">
        <f t="shared" si="3"/>
        <v>0</v>
      </c>
      <c r="P17" s="225">
        <v>0</v>
      </c>
      <c r="Q17" s="79">
        <f>M17*P17</f>
        <v>0</v>
      </c>
      <c r="R17" s="371">
        <v>0</v>
      </c>
      <c r="S17" s="269">
        <f>M17*R17</f>
        <v>0</v>
      </c>
      <c r="T17" s="371">
        <v>0</v>
      </c>
      <c r="U17" s="269">
        <f t="shared" si="4"/>
        <v>0</v>
      </c>
      <c r="V17" s="552" t="s">
        <v>114</v>
      </c>
      <c r="W17" s="552">
        <v>187</v>
      </c>
      <c r="X17" s="553">
        <v>0</v>
      </c>
      <c r="Y17" s="552">
        <v>220</v>
      </c>
      <c r="Z17" s="553">
        <v>93</v>
      </c>
      <c r="AA17" s="553">
        <v>34</v>
      </c>
      <c r="AB17" s="553">
        <v>0</v>
      </c>
      <c r="AC17" s="553">
        <f t="shared" si="5"/>
        <v>534</v>
      </c>
      <c r="AD17" s="50">
        <v>141</v>
      </c>
      <c r="AE17" s="47">
        <f t="shared" si="6"/>
        <v>675</v>
      </c>
    </row>
    <row r="18" spans="1:31" ht="18.75" customHeight="1">
      <c r="A18" s="539" t="s">
        <v>165</v>
      </c>
      <c r="B18" s="217"/>
      <c r="C18" s="217"/>
      <c r="D18" s="399" t="s">
        <v>44</v>
      </c>
      <c r="E18" s="203">
        <f>E2</f>
        <v>0.412</v>
      </c>
      <c r="F18" s="113">
        <v>260</v>
      </c>
      <c r="G18" s="112">
        <f t="shared" si="0"/>
        <v>107.11999999999999</v>
      </c>
      <c r="H18" s="225">
        <v>333</v>
      </c>
      <c r="I18" s="112">
        <f t="shared" si="1"/>
        <v>137.196</v>
      </c>
      <c r="J18" s="34">
        <v>440</v>
      </c>
      <c r="K18" s="35">
        <f t="shared" si="2"/>
        <v>181.28</v>
      </c>
      <c r="L18" s="380" t="s">
        <v>79</v>
      </c>
      <c r="M18" s="203">
        <f>E10</f>
        <v>0.265</v>
      </c>
      <c r="N18" s="78">
        <v>0</v>
      </c>
      <c r="O18" s="79">
        <f t="shared" si="3"/>
        <v>0</v>
      </c>
      <c r="P18" s="225">
        <v>500</v>
      </c>
      <c r="Q18" s="79">
        <f aca="true" t="shared" si="7" ref="Q18:Q25">M18*P18</f>
        <v>132.5</v>
      </c>
      <c r="R18" s="372">
        <v>0</v>
      </c>
      <c r="S18" s="269">
        <f aca="true" t="shared" si="8" ref="S18:S25">M18*R18</f>
        <v>0</v>
      </c>
      <c r="T18" s="372">
        <v>0</v>
      </c>
      <c r="U18" s="269">
        <f t="shared" si="4"/>
        <v>0</v>
      </c>
      <c r="V18" s="552" t="s">
        <v>115</v>
      </c>
      <c r="W18" s="552">
        <v>187</v>
      </c>
      <c r="X18" s="553">
        <v>0</v>
      </c>
      <c r="Y18" s="552">
        <v>220</v>
      </c>
      <c r="Z18" s="553">
        <v>93</v>
      </c>
      <c r="AA18" s="553">
        <v>34</v>
      </c>
      <c r="AB18" s="553">
        <v>0</v>
      </c>
      <c r="AC18" s="553">
        <f t="shared" si="5"/>
        <v>534</v>
      </c>
      <c r="AD18" s="50">
        <v>141</v>
      </c>
      <c r="AE18" s="47">
        <f t="shared" si="6"/>
        <v>675</v>
      </c>
    </row>
    <row r="19" spans="1:31" ht="18.75" customHeight="1">
      <c r="A19" s="494" t="s">
        <v>47</v>
      </c>
      <c r="B19" s="217"/>
      <c r="C19" s="217"/>
      <c r="D19" s="399" t="s">
        <v>48</v>
      </c>
      <c r="E19" s="200">
        <v>44</v>
      </c>
      <c r="F19" s="113">
        <v>0</v>
      </c>
      <c r="G19" s="112">
        <f t="shared" si="0"/>
        <v>0</v>
      </c>
      <c r="H19" s="114">
        <v>0.25</v>
      </c>
      <c r="I19" s="112">
        <f t="shared" si="1"/>
        <v>11</v>
      </c>
      <c r="J19" s="34">
        <v>0.5</v>
      </c>
      <c r="K19" s="35">
        <f t="shared" si="2"/>
        <v>22</v>
      </c>
      <c r="L19" s="380"/>
      <c r="M19" s="199">
        <v>44</v>
      </c>
      <c r="N19" s="92">
        <v>0</v>
      </c>
      <c r="O19" s="79">
        <f t="shared" si="3"/>
        <v>0</v>
      </c>
      <c r="P19" s="83">
        <v>0</v>
      </c>
      <c r="Q19" s="79">
        <f t="shared" si="7"/>
        <v>0</v>
      </c>
      <c r="R19" s="270">
        <v>0.25</v>
      </c>
      <c r="S19" s="269">
        <f t="shared" si="8"/>
        <v>11</v>
      </c>
      <c r="T19" s="270">
        <v>0.25</v>
      </c>
      <c r="U19" s="269">
        <f t="shared" si="4"/>
        <v>11</v>
      </c>
      <c r="V19" s="554" t="s">
        <v>116</v>
      </c>
      <c r="W19" s="554">
        <v>187</v>
      </c>
      <c r="X19" s="555">
        <v>0</v>
      </c>
      <c r="Y19" s="554">
        <v>220</v>
      </c>
      <c r="Z19" s="555">
        <v>93</v>
      </c>
      <c r="AA19" s="555">
        <v>34</v>
      </c>
      <c r="AB19" s="555">
        <v>0</v>
      </c>
      <c r="AC19" s="555">
        <f t="shared" si="5"/>
        <v>534</v>
      </c>
      <c r="AD19" s="50">
        <v>141</v>
      </c>
      <c r="AE19" s="47">
        <f t="shared" si="6"/>
        <v>675</v>
      </c>
    </row>
    <row r="20" spans="1:31" ht="18.75" customHeight="1">
      <c r="A20" s="499" t="s">
        <v>92</v>
      </c>
      <c r="B20" s="217"/>
      <c r="C20" s="217"/>
      <c r="D20" s="399" t="s">
        <v>11</v>
      </c>
      <c r="E20" s="200">
        <v>28</v>
      </c>
      <c r="F20" s="114">
        <v>1</v>
      </c>
      <c r="G20" s="112">
        <f t="shared" si="0"/>
        <v>28</v>
      </c>
      <c r="H20" s="114">
        <v>1</v>
      </c>
      <c r="I20" s="112">
        <f t="shared" si="1"/>
        <v>28</v>
      </c>
      <c r="J20" s="34">
        <v>1</v>
      </c>
      <c r="K20" s="35">
        <f t="shared" si="2"/>
        <v>28</v>
      </c>
      <c r="L20" s="380" t="s">
        <v>81</v>
      </c>
      <c r="M20" s="200">
        <v>0</v>
      </c>
      <c r="N20" s="80">
        <v>0</v>
      </c>
      <c r="O20" s="79">
        <f t="shared" si="3"/>
        <v>0</v>
      </c>
      <c r="P20" s="80">
        <v>0</v>
      </c>
      <c r="Q20" s="79">
        <f t="shared" si="7"/>
        <v>0</v>
      </c>
      <c r="R20" s="271">
        <v>0</v>
      </c>
      <c r="S20" s="269">
        <f t="shared" si="8"/>
        <v>0</v>
      </c>
      <c r="T20" s="271">
        <v>0</v>
      </c>
      <c r="U20" s="269">
        <f t="shared" si="4"/>
        <v>0</v>
      </c>
      <c r="V20" s="550" t="s">
        <v>117</v>
      </c>
      <c r="W20" s="550">
        <v>187</v>
      </c>
      <c r="X20" s="556">
        <f>91.5*0.875463</f>
        <v>80.1048645</v>
      </c>
      <c r="Y20" s="550">
        <v>220</v>
      </c>
      <c r="Z20" s="551">
        <v>93</v>
      </c>
      <c r="AA20" s="551">
        <v>34</v>
      </c>
      <c r="AB20" s="551">
        <v>0</v>
      </c>
      <c r="AC20" s="551">
        <f t="shared" si="5"/>
        <v>614.1048645000001</v>
      </c>
      <c r="AD20" s="50">
        <v>141</v>
      </c>
      <c r="AE20" s="47">
        <f t="shared" si="6"/>
        <v>755.1048645000001</v>
      </c>
    </row>
    <row r="21" spans="1:31" ht="18.75" customHeight="1">
      <c r="A21" s="499" t="s">
        <v>92</v>
      </c>
      <c r="B21" s="217"/>
      <c r="C21" s="217"/>
      <c r="D21" s="399" t="s">
        <v>11</v>
      </c>
      <c r="E21" s="200">
        <v>27</v>
      </c>
      <c r="F21" s="114">
        <v>1</v>
      </c>
      <c r="G21" s="112">
        <f>E21*F21</f>
        <v>27</v>
      </c>
      <c r="H21" s="114">
        <v>1</v>
      </c>
      <c r="I21" s="112">
        <f>E21*H21</f>
        <v>27</v>
      </c>
      <c r="J21" s="34">
        <v>1</v>
      </c>
      <c r="K21" s="35">
        <f>E21*J21</f>
        <v>27</v>
      </c>
      <c r="L21" s="380" t="s">
        <v>80</v>
      </c>
      <c r="M21" s="202">
        <v>7.5</v>
      </c>
      <c r="N21" s="92">
        <v>1</v>
      </c>
      <c r="O21" s="79">
        <f t="shared" si="3"/>
        <v>7.5</v>
      </c>
      <c r="P21" s="83">
        <v>1</v>
      </c>
      <c r="Q21" s="79">
        <f t="shared" si="7"/>
        <v>7.5</v>
      </c>
      <c r="R21" s="270">
        <v>1</v>
      </c>
      <c r="S21" s="269">
        <f t="shared" si="8"/>
        <v>7.5</v>
      </c>
      <c r="T21" s="270">
        <v>1</v>
      </c>
      <c r="U21" s="269">
        <f t="shared" si="4"/>
        <v>7.5</v>
      </c>
      <c r="V21" s="552" t="s">
        <v>118</v>
      </c>
      <c r="W21" s="552">
        <v>187</v>
      </c>
      <c r="X21" s="553">
        <v>0</v>
      </c>
      <c r="Y21" s="552">
        <v>220</v>
      </c>
      <c r="Z21" s="553">
        <v>93</v>
      </c>
      <c r="AA21" s="553">
        <v>34</v>
      </c>
      <c r="AB21" s="553">
        <v>0</v>
      </c>
      <c r="AC21" s="553">
        <f t="shared" si="5"/>
        <v>534</v>
      </c>
      <c r="AD21" s="50">
        <v>141</v>
      </c>
      <c r="AE21" s="47">
        <f t="shared" si="6"/>
        <v>675</v>
      </c>
    </row>
    <row r="22" spans="1:31" ht="18.75" customHeight="1">
      <c r="A22" s="494" t="s">
        <v>49</v>
      </c>
      <c r="B22" s="217"/>
      <c r="C22" s="217"/>
      <c r="D22" s="399" t="s">
        <v>50</v>
      </c>
      <c r="E22" s="224">
        <v>7.6</v>
      </c>
      <c r="F22" s="113">
        <v>8</v>
      </c>
      <c r="G22" s="112">
        <f t="shared" si="0"/>
        <v>60.8</v>
      </c>
      <c r="H22" s="114">
        <v>8</v>
      </c>
      <c r="I22" s="112">
        <f t="shared" si="1"/>
        <v>60.8</v>
      </c>
      <c r="J22" s="34">
        <v>8</v>
      </c>
      <c r="K22" s="35">
        <f t="shared" si="2"/>
        <v>60.8</v>
      </c>
      <c r="L22" s="380"/>
      <c r="M22" s="224">
        <v>7.6</v>
      </c>
      <c r="N22" s="78">
        <v>8</v>
      </c>
      <c r="O22" s="79">
        <f t="shared" si="3"/>
        <v>60.8</v>
      </c>
      <c r="P22" s="80">
        <v>10</v>
      </c>
      <c r="Q22" s="79">
        <f t="shared" si="7"/>
        <v>76</v>
      </c>
      <c r="R22" s="271">
        <v>10</v>
      </c>
      <c r="S22" s="269">
        <f t="shared" si="8"/>
        <v>76</v>
      </c>
      <c r="T22" s="271">
        <v>10</v>
      </c>
      <c r="U22" s="269">
        <f t="shared" si="4"/>
        <v>76</v>
      </c>
      <c r="V22" s="554" t="s">
        <v>119</v>
      </c>
      <c r="W22" s="554">
        <v>187</v>
      </c>
      <c r="X22" s="555">
        <f>91.5*0.875463</f>
        <v>80.1048645</v>
      </c>
      <c r="Y22" s="554">
        <v>220</v>
      </c>
      <c r="Z22" s="555">
        <v>93</v>
      </c>
      <c r="AA22" s="555">
        <v>34</v>
      </c>
      <c r="AB22" s="555">
        <v>0</v>
      </c>
      <c r="AC22" s="555">
        <f t="shared" si="5"/>
        <v>614.1048645000001</v>
      </c>
      <c r="AD22" s="50">
        <v>141</v>
      </c>
      <c r="AE22" s="47">
        <f t="shared" si="6"/>
        <v>755.1048645000001</v>
      </c>
    </row>
    <row r="23" spans="1:31" ht="18.75" customHeight="1">
      <c r="A23" s="494" t="s">
        <v>51</v>
      </c>
      <c r="B23" s="217"/>
      <c r="C23" s="217"/>
      <c r="D23" s="399" t="s">
        <v>50</v>
      </c>
      <c r="E23" s="224">
        <v>7.6</v>
      </c>
      <c r="F23" s="113">
        <v>1.4</v>
      </c>
      <c r="G23" s="112">
        <f t="shared" si="0"/>
        <v>10.639999999999999</v>
      </c>
      <c r="H23" s="114">
        <v>1.4</v>
      </c>
      <c r="I23" s="112">
        <f t="shared" si="1"/>
        <v>10.639999999999999</v>
      </c>
      <c r="J23" s="34">
        <v>1.4</v>
      </c>
      <c r="K23" s="35">
        <f t="shared" si="2"/>
        <v>10.639999999999999</v>
      </c>
      <c r="L23" s="380"/>
      <c r="M23" s="224">
        <v>7.6</v>
      </c>
      <c r="N23" s="78">
        <v>1.4</v>
      </c>
      <c r="O23" s="79">
        <f t="shared" si="3"/>
        <v>10.639999999999999</v>
      </c>
      <c r="P23" s="80">
        <v>1.4</v>
      </c>
      <c r="Q23" s="79">
        <f t="shared" si="7"/>
        <v>10.639999999999999</v>
      </c>
      <c r="R23" s="271">
        <v>1.4</v>
      </c>
      <c r="S23" s="269">
        <f t="shared" si="8"/>
        <v>10.639999999999999</v>
      </c>
      <c r="T23" s="271">
        <v>1.4</v>
      </c>
      <c r="U23" s="269">
        <f t="shared" si="4"/>
        <v>10.639999999999999</v>
      </c>
      <c r="V23" s="550" t="s">
        <v>120</v>
      </c>
      <c r="W23" s="551">
        <f>186.95+(30*0.17*14.57*0.875463)</f>
        <v>252.00302914099998</v>
      </c>
      <c r="X23" s="551">
        <f>560*0.875463</f>
        <v>490.25928</v>
      </c>
      <c r="Y23" s="550">
        <v>220</v>
      </c>
      <c r="Z23" s="551">
        <v>93</v>
      </c>
      <c r="AA23" s="551">
        <v>34</v>
      </c>
      <c r="AB23" s="551">
        <v>100</v>
      </c>
      <c r="AC23" s="551">
        <f t="shared" si="5"/>
        <v>1189.262309141</v>
      </c>
      <c r="AD23" s="50">
        <v>141</v>
      </c>
      <c r="AE23" s="47">
        <f t="shared" si="6"/>
        <v>1330.262309141</v>
      </c>
    </row>
    <row r="24" spans="1:31" ht="18.75" customHeight="1">
      <c r="A24" s="494" t="s">
        <v>52</v>
      </c>
      <c r="B24" s="217"/>
      <c r="C24" s="217"/>
      <c r="D24" s="399" t="s">
        <v>44</v>
      </c>
      <c r="E24" s="203">
        <v>0.019</v>
      </c>
      <c r="F24" s="114">
        <f>F14</f>
        <v>3000</v>
      </c>
      <c r="G24" s="112">
        <f t="shared" si="0"/>
        <v>57</v>
      </c>
      <c r="H24" s="114">
        <f>H14</f>
        <v>4000</v>
      </c>
      <c r="I24" s="112">
        <f t="shared" si="1"/>
        <v>76</v>
      </c>
      <c r="J24" s="34">
        <f>J14</f>
        <v>5000</v>
      </c>
      <c r="K24" s="35">
        <f t="shared" si="2"/>
        <v>95</v>
      </c>
      <c r="L24" s="380"/>
      <c r="M24" s="203">
        <v>0.019</v>
      </c>
      <c r="N24" s="80">
        <f>N14</f>
        <v>2000</v>
      </c>
      <c r="O24" s="79">
        <f t="shared" si="3"/>
        <v>38</v>
      </c>
      <c r="P24" s="80">
        <f>P14</f>
        <v>2500</v>
      </c>
      <c r="Q24" s="79">
        <f t="shared" si="7"/>
        <v>47.5</v>
      </c>
      <c r="R24" s="271">
        <f>R14</f>
        <v>2000</v>
      </c>
      <c r="S24" s="269">
        <f t="shared" si="8"/>
        <v>38</v>
      </c>
      <c r="T24" s="271">
        <f>T14</f>
        <v>2000</v>
      </c>
      <c r="U24" s="269">
        <f t="shared" si="4"/>
        <v>38</v>
      </c>
      <c r="V24" s="552" t="s">
        <v>121</v>
      </c>
      <c r="W24" s="552">
        <v>187</v>
      </c>
      <c r="X24" s="553">
        <v>0</v>
      </c>
      <c r="Y24" s="552">
        <v>220</v>
      </c>
      <c r="Z24" s="557">
        <v>93</v>
      </c>
      <c r="AA24" s="557">
        <v>34</v>
      </c>
      <c r="AB24" s="553">
        <v>0</v>
      </c>
      <c r="AC24" s="553">
        <f t="shared" si="5"/>
        <v>534</v>
      </c>
      <c r="AD24" s="50">
        <v>141</v>
      </c>
      <c r="AE24" s="47">
        <f t="shared" si="6"/>
        <v>675</v>
      </c>
    </row>
    <row r="25" spans="1:31" ht="18.75" customHeight="1">
      <c r="A25" s="494" t="s">
        <v>53</v>
      </c>
      <c r="B25" s="217"/>
      <c r="C25" s="217"/>
      <c r="D25" s="399" t="s">
        <v>44</v>
      </c>
      <c r="E25" s="203">
        <v>0.015</v>
      </c>
      <c r="F25" s="113">
        <f>+F14-F16</f>
        <v>2795</v>
      </c>
      <c r="G25" s="112">
        <f t="shared" si="0"/>
        <v>41.925</v>
      </c>
      <c r="H25" s="113">
        <f>+H14-H16</f>
        <v>3795</v>
      </c>
      <c r="I25" s="112">
        <f t="shared" si="1"/>
        <v>56.925</v>
      </c>
      <c r="J25" s="33">
        <f>+J14-J16</f>
        <v>4795</v>
      </c>
      <c r="K25" s="35">
        <f t="shared" si="2"/>
        <v>71.925</v>
      </c>
      <c r="L25" s="380"/>
      <c r="M25" s="203">
        <v>0.015</v>
      </c>
      <c r="N25" s="78">
        <f>+N14-N16</f>
        <v>1795</v>
      </c>
      <c r="O25" s="79">
        <f t="shared" si="3"/>
        <v>26.925</v>
      </c>
      <c r="P25" s="78">
        <f>+P14-P16</f>
        <v>2280</v>
      </c>
      <c r="Q25" s="79">
        <f t="shared" si="7"/>
        <v>34.199999999999996</v>
      </c>
      <c r="R25" s="267">
        <f>+R14-R16</f>
        <v>1795</v>
      </c>
      <c r="S25" s="269">
        <f t="shared" si="8"/>
        <v>26.925</v>
      </c>
      <c r="T25" s="267">
        <f>+T14-T16</f>
        <v>1795</v>
      </c>
      <c r="U25" s="269">
        <f t="shared" si="4"/>
        <v>26.925</v>
      </c>
      <c r="V25" s="554" t="s">
        <v>122</v>
      </c>
      <c r="W25" s="554">
        <v>187</v>
      </c>
      <c r="X25" s="555">
        <v>0</v>
      </c>
      <c r="Y25" s="554">
        <v>220</v>
      </c>
      <c r="Z25" s="555">
        <v>93</v>
      </c>
      <c r="AA25" s="555">
        <v>34</v>
      </c>
      <c r="AB25" s="555">
        <v>0</v>
      </c>
      <c r="AC25" s="555">
        <f t="shared" si="5"/>
        <v>534</v>
      </c>
      <c r="AD25" s="50">
        <v>141</v>
      </c>
      <c r="AE25" s="47">
        <f t="shared" si="6"/>
        <v>675</v>
      </c>
    </row>
    <row r="26" spans="1:31" ht="18.75" customHeight="1">
      <c r="A26" s="494" t="s">
        <v>54</v>
      </c>
      <c r="B26" s="217"/>
      <c r="C26" s="217"/>
      <c r="D26" s="399" t="s">
        <v>55</v>
      </c>
      <c r="E26" s="110">
        <v>0.5</v>
      </c>
      <c r="F26" s="116">
        <f>(SUM(G15:G25)+167)</f>
        <v>567.135</v>
      </c>
      <c r="G26" s="112"/>
      <c r="H26" s="117">
        <f>(SUM(I15:I25)+167)</f>
        <v>642.211</v>
      </c>
      <c r="I26" s="112"/>
      <c r="J26" s="36">
        <f>(SUM(K15:K25)+167)</f>
        <v>731.295</v>
      </c>
      <c r="K26" s="35"/>
      <c r="L26" s="380"/>
      <c r="M26" s="76">
        <v>0.5</v>
      </c>
      <c r="N26" s="84">
        <f>(SUM(O15:O25)+167)</f>
        <v>384.66499999999996</v>
      </c>
      <c r="O26" s="79"/>
      <c r="P26" s="85">
        <f>(SUM(Q15:Q25)+167)</f>
        <v>554.54</v>
      </c>
      <c r="Q26" s="79"/>
      <c r="R26" s="272">
        <f>(SUM(S15:S25)+167)</f>
        <v>410.865</v>
      </c>
      <c r="S26" s="269"/>
      <c r="T26" s="272">
        <f>(SUM(U15:U25)+167)</f>
        <v>410.865</v>
      </c>
      <c r="U26" s="269"/>
      <c r="V26" s="558" t="s">
        <v>169</v>
      </c>
      <c r="W26" s="559">
        <f>187+404</f>
        <v>591</v>
      </c>
      <c r="X26" s="559">
        <v>0</v>
      </c>
      <c r="Y26" s="560">
        <v>220</v>
      </c>
      <c r="Z26" s="557">
        <v>93</v>
      </c>
      <c r="AA26" s="559">
        <v>34</v>
      </c>
      <c r="AB26" s="559">
        <v>350</v>
      </c>
      <c r="AC26" s="551">
        <f t="shared" si="5"/>
        <v>1288</v>
      </c>
      <c r="AD26" s="50">
        <v>141</v>
      </c>
      <c r="AE26" s="47">
        <f t="shared" si="6"/>
        <v>1429</v>
      </c>
    </row>
    <row r="27" spans="1:31" ht="18.75" customHeight="1" thickBot="1">
      <c r="A27" s="494" t="s">
        <v>56</v>
      </c>
      <c r="B27" s="217"/>
      <c r="C27" s="217"/>
      <c r="D27" s="399" t="s">
        <v>55</v>
      </c>
      <c r="E27" s="122">
        <v>0.05</v>
      </c>
      <c r="F27" s="116">
        <f>+E26*F26</f>
        <v>283.5675</v>
      </c>
      <c r="G27" s="112">
        <f>E27*F27</f>
        <v>14.178375</v>
      </c>
      <c r="H27" s="117">
        <f>+E26*H26</f>
        <v>321.1055</v>
      </c>
      <c r="I27" s="112">
        <f>E27*H27</f>
        <v>16.055275</v>
      </c>
      <c r="J27" s="36">
        <f>+E26*J26</f>
        <v>365.6475</v>
      </c>
      <c r="K27" s="35">
        <f>E27*J27</f>
        <v>18.282375</v>
      </c>
      <c r="L27" s="380"/>
      <c r="M27" s="90">
        <v>0.05</v>
      </c>
      <c r="N27" s="84">
        <f>+M26*N26</f>
        <v>192.33249999999998</v>
      </c>
      <c r="O27" s="79">
        <f>M27*N27</f>
        <v>9.616624999999999</v>
      </c>
      <c r="P27" s="85">
        <f>+M26*P26</f>
        <v>277.27</v>
      </c>
      <c r="Q27" s="79">
        <f>M27*P27</f>
        <v>13.8635</v>
      </c>
      <c r="R27" s="272">
        <f>+M26*R26</f>
        <v>205.4325</v>
      </c>
      <c r="S27" s="269">
        <f>M27*R27</f>
        <v>10.271625</v>
      </c>
      <c r="T27" s="272">
        <f>+M26*T26</f>
        <v>205.4325</v>
      </c>
      <c r="U27" s="269">
        <f>M27*T27</f>
        <v>10.271625</v>
      </c>
      <c r="V27" s="550" t="s">
        <v>123</v>
      </c>
      <c r="W27" s="550">
        <v>187</v>
      </c>
      <c r="X27" s="551">
        <v>0</v>
      </c>
      <c r="Y27" s="550">
        <v>220</v>
      </c>
      <c r="Z27" s="551">
        <v>93</v>
      </c>
      <c r="AA27" s="551">
        <v>34</v>
      </c>
      <c r="AB27" s="551">
        <v>0</v>
      </c>
      <c r="AC27" s="551">
        <f t="shared" si="5"/>
        <v>534</v>
      </c>
      <c r="AD27" s="50">
        <v>141</v>
      </c>
      <c r="AE27" s="47">
        <f t="shared" si="6"/>
        <v>675</v>
      </c>
    </row>
    <row r="28" spans="1:31" ht="18.75" customHeight="1" thickBot="1">
      <c r="A28" s="160" t="s">
        <v>155</v>
      </c>
      <c r="B28" s="215"/>
      <c r="C28" s="215"/>
      <c r="D28" s="400"/>
      <c r="E28" s="144"/>
      <c r="F28" s="262"/>
      <c r="G28" s="263">
        <f>SUM(G15:G27)</f>
        <v>414.313375</v>
      </c>
      <c r="H28" s="146"/>
      <c r="I28" s="145">
        <f>SUM(I15:I27)</f>
        <v>491.266275</v>
      </c>
      <c r="J28" s="147"/>
      <c r="K28" s="264">
        <f>SUM(K15:K27)</f>
        <v>582.577375</v>
      </c>
      <c r="L28" s="381"/>
      <c r="M28" s="148"/>
      <c r="N28" s="265"/>
      <c r="O28" s="266">
        <f>SUM(O15:O27)</f>
        <v>227.281625</v>
      </c>
      <c r="P28" s="150"/>
      <c r="Q28" s="149">
        <f>SUM(Q15:Q27)</f>
        <v>401.40349999999995</v>
      </c>
      <c r="R28" s="273"/>
      <c r="S28" s="268">
        <f>SUM(S15:S27)</f>
        <v>254.136625</v>
      </c>
      <c r="T28" s="273"/>
      <c r="U28" s="268">
        <f>SUM(U15:U27)</f>
        <v>254.136625</v>
      </c>
      <c r="V28" s="550" t="s">
        <v>124</v>
      </c>
      <c r="W28" s="550">
        <v>187</v>
      </c>
      <c r="X28" s="551">
        <v>0</v>
      </c>
      <c r="Y28" s="550">
        <v>220</v>
      </c>
      <c r="Z28" s="551">
        <v>93</v>
      </c>
      <c r="AA28" s="551">
        <v>34</v>
      </c>
      <c r="AB28" s="551">
        <v>0</v>
      </c>
      <c r="AC28" s="551">
        <f t="shared" si="5"/>
        <v>534</v>
      </c>
      <c r="AD28" s="50">
        <v>141</v>
      </c>
      <c r="AE28" s="47">
        <f t="shared" si="6"/>
        <v>675</v>
      </c>
    </row>
    <row r="29" spans="1:33" s="32" customFormat="1" ht="18.75" customHeight="1" thickBot="1">
      <c r="A29" s="220"/>
      <c r="B29" s="217"/>
      <c r="C29" s="217"/>
      <c r="D29" s="397" t="s">
        <v>39</v>
      </c>
      <c r="E29" s="154" t="s">
        <v>40</v>
      </c>
      <c r="F29" s="155" t="s">
        <v>41</v>
      </c>
      <c r="G29" s="156" t="s">
        <v>42</v>
      </c>
      <c r="H29" s="157" t="s">
        <v>43</v>
      </c>
      <c r="I29" s="156" t="s">
        <v>42</v>
      </c>
      <c r="J29" s="158" t="s">
        <v>41</v>
      </c>
      <c r="K29" s="365" t="s">
        <v>42</v>
      </c>
      <c r="L29" s="378"/>
      <c r="M29" s="154" t="s">
        <v>40</v>
      </c>
      <c r="N29" s="155" t="s">
        <v>41</v>
      </c>
      <c r="O29" s="156" t="s">
        <v>42</v>
      </c>
      <c r="P29" s="157" t="s">
        <v>43</v>
      </c>
      <c r="Q29" s="59" t="s">
        <v>42</v>
      </c>
      <c r="R29" s="61" t="s">
        <v>41</v>
      </c>
      <c r="S29" s="62" t="s">
        <v>42</v>
      </c>
      <c r="T29" s="61" t="s">
        <v>41</v>
      </c>
      <c r="U29" s="62" t="s">
        <v>42</v>
      </c>
      <c r="V29" s="554" t="s">
        <v>125</v>
      </c>
      <c r="W29" s="554">
        <v>187</v>
      </c>
      <c r="X29" s="555">
        <v>0</v>
      </c>
      <c r="Y29" s="554">
        <v>220</v>
      </c>
      <c r="Z29" s="555">
        <v>93</v>
      </c>
      <c r="AA29" s="555">
        <v>34</v>
      </c>
      <c r="AB29" s="555">
        <v>0</v>
      </c>
      <c r="AC29" s="555">
        <f t="shared" si="5"/>
        <v>534</v>
      </c>
      <c r="AD29" s="50">
        <v>141</v>
      </c>
      <c r="AE29" s="47">
        <f t="shared" si="6"/>
        <v>675</v>
      </c>
      <c r="AF29" s="46"/>
      <c r="AG29" s="46"/>
    </row>
    <row r="30" spans="1:31" ht="18.75" customHeight="1" thickBot="1">
      <c r="A30" s="161" t="s">
        <v>57</v>
      </c>
      <c r="B30" s="214"/>
      <c r="C30" s="214"/>
      <c r="D30" s="401" t="s">
        <v>44</v>
      </c>
      <c r="E30" s="292"/>
      <c r="F30" s="293">
        <v>3000</v>
      </c>
      <c r="G30" s="260"/>
      <c r="H30" s="142">
        <v>4000</v>
      </c>
      <c r="I30" s="143"/>
      <c r="J30" s="142">
        <v>4000</v>
      </c>
      <c r="K30" s="294"/>
      <c r="L30" s="382"/>
      <c r="M30" s="259"/>
      <c r="N30" s="293">
        <v>2000</v>
      </c>
      <c r="O30" s="260"/>
      <c r="P30" s="142">
        <v>3000</v>
      </c>
      <c r="Q30" s="383"/>
      <c r="R30" s="295">
        <v>2000</v>
      </c>
      <c r="S30" s="261"/>
      <c r="T30" s="295">
        <v>2000</v>
      </c>
      <c r="U30" s="261"/>
      <c r="V30" s="552" t="s">
        <v>126</v>
      </c>
      <c r="W30" s="552">
        <v>187</v>
      </c>
      <c r="X30" s="553">
        <v>0</v>
      </c>
      <c r="Y30" s="553">
        <v>300</v>
      </c>
      <c r="Z30" s="553">
        <v>107</v>
      </c>
      <c r="AA30" s="553">
        <v>68</v>
      </c>
      <c r="AB30" s="553">
        <v>39</v>
      </c>
      <c r="AC30" s="551">
        <f t="shared" si="5"/>
        <v>701</v>
      </c>
      <c r="AD30" s="50">
        <v>141</v>
      </c>
      <c r="AE30" s="47">
        <f t="shared" si="6"/>
        <v>842</v>
      </c>
    </row>
    <row r="31" spans="1:31" ht="18.75" customHeight="1">
      <c r="A31" s="495" t="s">
        <v>33</v>
      </c>
      <c r="B31" s="217"/>
      <c r="C31" s="217"/>
      <c r="D31" s="402"/>
      <c r="E31" s="122"/>
      <c r="F31" s="123"/>
      <c r="G31" s="124"/>
      <c r="H31" s="125"/>
      <c r="I31" s="124"/>
      <c r="J31" s="37"/>
      <c r="K31" s="41"/>
      <c r="L31" s="380"/>
      <c r="M31" s="76"/>
      <c r="N31" s="77"/>
      <c r="O31" s="79"/>
      <c r="P31" s="78"/>
      <c r="Q31" s="79"/>
      <c r="R31" s="267"/>
      <c r="S31" s="269"/>
      <c r="T31" s="267"/>
      <c r="U31" s="269"/>
      <c r="V31" s="550" t="s">
        <v>127</v>
      </c>
      <c r="W31" s="550">
        <v>187</v>
      </c>
      <c r="X31" s="551">
        <v>0</v>
      </c>
      <c r="Y31" s="550">
        <v>220</v>
      </c>
      <c r="Z31" s="551">
        <v>450</v>
      </c>
      <c r="AA31" s="551">
        <v>144</v>
      </c>
      <c r="AB31" s="551">
        <v>100</v>
      </c>
      <c r="AC31" s="551">
        <f t="shared" si="5"/>
        <v>1101</v>
      </c>
      <c r="AD31" s="50">
        <v>141</v>
      </c>
      <c r="AE31" s="47">
        <f t="shared" si="6"/>
        <v>1242</v>
      </c>
    </row>
    <row r="32" spans="1:31" ht="18.75" customHeight="1">
      <c r="A32" s="494" t="s">
        <v>45</v>
      </c>
      <c r="B32" s="217"/>
      <c r="C32" s="217"/>
      <c r="D32" s="403" t="s">
        <v>44</v>
      </c>
      <c r="E32" s="201">
        <v>0.33</v>
      </c>
      <c r="F32" s="226">
        <v>250</v>
      </c>
      <c r="G32" s="227">
        <f aca="true" t="shared" si="9" ref="G32:G41">E32*F32</f>
        <v>82.5</v>
      </c>
      <c r="H32" s="228">
        <v>250</v>
      </c>
      <c r="I32" s="124">
        <f aca="true" t="shared" si="10" ref="I32:I41">E32*H32</f>
        <v>82.5</v>
      </c>
      <c r="J32" s="37">
        <v>250</v>
      </c>
      <c r="K32" s="41">
        <f aca="true" t="shared" si="11" ref="K32:K41">E32*J32</f>
        <v>82.5</v>
      </c>
      <c r="L32" s="380"/>
      <c r="M32" s="224">
        <v>0.36</v>
      </c>
      <c r="N32" s="78">
        <v>205</v>
      </c>
      <c r="O32" s="79">
        <f aca="true" t="shared" si="12" ref="O32:O41">M32*N32</f>
        <v>73.8</v>
      </c>
      <c r="P32" s="225">
        <v>265</v>
      </c>
      <c r="Q32" s="79">
        <f>M32*P32</f>
        <v>95.39999999999999</v>
      </c>
      <c r="R32" s="371">
        <v>205</v>
      </c>
      <c r="S32" s="269">
        <f aca="true" t="shared" si="13" ref="S32:S41">M32*R32</f>
        <v>73.8</v>
      </c>
      <c r="T32" s="371">
        <v>205</v>
      </c>
      <c r="U32" s="269">
        <f aca="true" t="shared" si="14" ref="U32:U43">M32*T32</f>
        <v>73.8</v>
      </c>
      <c r="V32" s="552" t="s">
        <v>128</v>
      </c>
      <c r="W32" s="552">
        <v>187</v>
      </c>
      <c r="X32" s="553">
        <v>0</v>
      </c>
      <c r="Y32" s="552">
        <v>220</v>
      </c>
      <c r="Z32" s="553">
        <v>450</v>
      </c>
      <c r="AA32" s="553">
        <v>144</v>
      </c>
      <c r="AB32" s="553">
        <v>0</v>
      </c>
      <c r="AC32" s="553">
        <f t="shared" si="5"/>
        <v>1001</v>
      </c>
      <c r="AD32" s="50">
        <v>141</v>
      </c>
      <c r="AE32" s="47">
        <f t="shared" si="6"/>
        <v>1142</v>
      </c>
    </row>
    <row r="33" spans="1:31" ht="18.75" customHeight="1">
      <c r="A33" s="494" t="s">
        <v>46</v>
      </c>
      <c r="B33" s="217"/>
      <c r="C33" s="217"/>
      <c r="D33" s="403" t="s">
        <v>44</v>
      </c>
      <c r="E33" s="224">
        <v>0.46</v>
      </c>
      <c r="F33" s="226">
        <v>0</v>
      </c>
      <c r="G33" s="227">
        <f t="shared" si="9"/>
        <v>0</v>
      </c>
      <c r="H33" s="229">
        <v>0</v>
      </c>
      <c r="I33" s="124">
        <f t="shared" si="10"/>
        <v>0</v>
      </c>
      <c r="J33" s="16">
        <v>0</v>
      </c>
      <c r="K33" s="41">
        <f t="shared" si="11"/>
        <v>0</v>
      </c>
      <c r="L33" s="380"/>
      <c r="M33" s="224">
        <v>0.65</v>
      </c>
      <c r="N33" s="78">
        <v>0</v>
      </c>
      <c r="O33" s="79">
        <f t="shared" si="12"/>
        <v>0</v>
      </c>
      <c r="P33" s="225">
        <v>0</v>
      </c>
      <c r="Q33" s="79">
        <f>M33*P33</f>
        <v>0</v>
      </c>
      <c r="R33" s="371">
        <v>0</v>
      </c>
      <c r="S33" s="269">
        <f t="shared" si="13"/>
        <v>0</v>
      </c>
      <c r="T33" s="371">
        <v>0</v>
      </c>
      <c r="U33" s="269">
        <f t="shared" si="14"/>
        <v>0</v>
      </c>
      <c r="V33" s="552" t="s">
        <v>129</v>
      </c>
      <c r="W33" s="552">
        <v>187</v>
      </c>
      <c r="X33" s="553">
        <v>0</v>
      </c>
      <c r="Y33" s="552">
        <v>220</v>
      </c>
      <c r="Z33" s="553">
        <v>181</v>
      </c>
      <c r="AA33" s="553">
        <v>213</v>
      </c>
      <c r="AB33" s="553">
        <v>0</v>
      </c>
      <c r="AC33" s="553">
        <f t="shared" si="5"/>
        <v>801</v>
      </c>
      <c r="AD33" s="50">
        <v>141</v>
      </c>
      <c r="AE33" s="47">
        <f t="shared" si="6"/>
        <v>942</v>
      </c>
    </row>
    <row r="34" spans="1:31" ht="18.75" customHeight="1">
      <c r="A34" s="539" t="s">
        <v>165</v>
      </c>
      <c r="B34" s="217"/>
      <c r="C34" s="217"/>
      <c r="D34" s="403" t="s">
        <v>44</v>
      </c>
      <c r="E34" s="203">
        <f>E2</f>
        <v>0.412</v>
      </c>
      <c r="F34" s="226">
        <v>300</v>
      </c>
      <c r="G34" s="230">
        <f t="shared" si="9"/>
        <v>123.6</v>
      </c>
      <c r="H34" s="229">
        <v>296</v>
      </c>
      <c r="I34" s="124">
        <f t="shared" si="10"/>
        <v>121.952</v>
      </c>
      <c r="J34" s="16">
        <v>480</v>
      </c>
      <c r="K34" s="41">
        <f t="shared" si="11"/>
        <v>197.76</v>
      </c>
      <c r="L34" s="380" t="s">
        <v>79</v>
      </c>
      <c r="M34" s="203">
        <f>E10</f>
        <v>0.265</v>
      </c>
      <c r="N34" s="78">
        <v>0</v>
      </c>
      <c r="O34" s="79">
        <f t="shared" si="12"/>
        <v>0</v>
      </c>
      <c r="P34" s="225">
        <v>700</v>
      </c>
      <c r="Q34" s="79">
        <f aca="true" t="shared" si="15" ref="Q34:Q41">M34*P34</f>
        <v>185.5</v>
      </c>
      <c r="R34" s="372">
        <v>0</v>
      </c>
      <c r="S34" s="269">
        <f t="shared" si="13"/>
        <v>0</v>
      </c>
      <c r="T34" s="372">
        <v>0</v>
      </c>
      <c r="U34" s="269">
        <f t="shared" si="14"/>
        <v>0</v>
      </c>
      <c r="V34" s="552" t="s">
        <v>130</v>
      </c>
      <c r="W34" s="552">
        <v>187</v>
      </c>
      <c r="X34" s="553">
        <v>0</v>
      </c>
      <c r="Y34" s="552">
        <v>220</v>
      </c>
      <c r="Z34" s="553">
        <v>438</v>
      </c>
      <c r="AA34" s="553">
        <v>400</v>
      </c>
      <c r="AB34" s="553">
        <v>0</v>
      </c>
      <c r="AC34" s="553">
        <f t="shared" si="5"/>
        <v>1245</v>
      </c>
      <c r="AD34" s="50">
        <v>141</v>
      </c>
      <c r="AE34" s="47">
        <f t="shared" si="6"/>
        <v>1386</v>
      </c>
    </row>
    <row r="35" spans="1:31" ht="18.75" customHeight="1">
      <c r="A35" s="494" t="s">
        <v>47</v>
      </c>
      <c r="B35" s="217"/>
      <c r="C35" s="217"/>
      <c r="D35" s="403" t="s">
        <v>58</v>
      </c>
      <c r="E35" s="200">
        <v>44</v>
      </c>
      <c r="F35" s="125">
        <v>0</v>
      </c>
      <c r="G35" s="124">
        <f t="shared" si="9"/>
        <v>0</v>
      </c>
      <c r="H35" s="126">
        <v>0.25</v>
      </c>
      <c r="I35" s="124">
        <f t="shared" si="10"/>
        <v>11</v>
      </c>
      <c r="J35" s="16">
        <v>0.5</v>
      </c>
      <c r="K35" s="41">
        <f t="shared" si="11"/>
        <v>22</v>
      </c>
      <c r="L35" s="380"/>
      <c r="M35" s="199">
        <v>44</v>
      </c>
      <c r="N35" s="92">
        <v>0</v>
      </c>
      <c r="O35" s="79">
        <f t="shared" si="12"/>
        <v>0</v>
      </c>
      <c r="P35" s="83">
        <v>0</v>
      </c>
      <c r="Q35" s="79">
        <f t="shared" si="15"/>
        <v>0</v>
      </c>
      <c r="R35" s="270">
        <v>0.25</v>
      </c>
      <c r="S35" s="269">
        <f t="shared" si="13"/>
        <v>11</v>
      </c>
      <c r="T35" s="270">
        <v>0.25</v>
      </c>
      <c r="U35" s="269">
        <f t="shared" si="14"/>
        <v>11</v>
      </c>
      <c r="V35" s="565" t="s">
        <v>181</v>
      </c>
      <c r="W35" s="554">
        <v>187</v>
      </c>
      <c r="X35" s="555">
        <v>0</v>
      </c>
      <c r="Y35" s="554">
        <v>220</v>
      </c>
      <c r="Z35" s="555">
        <v>438</v>
      </c>
      <c r="AA35" s="555">
        <v>400</v>
      </c>
      <c r="AB35" s="555">
        <v>0</v>
      </c>
      <c r="AC35" s="555">
        <f t="shared" si="5"/>
        <v>1245</v>
      </c>
      <c r="AD35" s="50">
        <v>141</v>
      </c>
      <c r="AE35" s="47">
        <f t="shared" si="6"/>
        <v>1386</v>
      </c>
    </row>
    <row r="36" spans="1:31" ht="18.75" customHeight="1">
      <c r="A36" s="499" t="s">
        <v>92</v>
      </c>
      <c r="B36" s="217"/>
      <c r="C36" s="217"/>
      <c r="D36" s="399" t="s">
        <v>11</v>
      </c>
      <c r="E36" s="200">
        <v>28</v>
      </c>
      <c r="F36" s="114">
        <v>1</v>
      </c>
      <c r="G36" s="112">
        <f t="shared" si="9"/>
        <v>28</v>
      </c>
      <c r="H36" s="114">
        <v>1</v>
      </c>
      <c r="I36" s="112">
        <f t="shared" si="10"/>
        <v>28</v>
      </c>
      <c r="J36" s="34">
        <v>1</v>
      </c>
      <c r="K36" s="35">
        <f t="shared" si="11"/>
        <v>28</v>
      </c>
      <c r="L36" s="380" t="s">
        <v>81</v>
      </c>
      <c r="M36" s="200">
        <v>0</v>
      </c>
      <c r="N36" s="80">
        <v>0</v>
      </c>
      <c r="O36" s="79">
        <f t="shared" si="12"/>
        <v>0</v>
      </c>
      <c r="P36" s="80">
        <v>0</v>
      </c>
      <c r="Q36" s="79">
        <f t="shared" si="15"/>
        <v>0</v>
      </c>
      <c r="R36" s="271">
        <v>0</v>
      </c>
      <c r="S36" s="269">
        <f t="shared" si="13"/>
        <v>0</v>
      </c>
      <c r="T36" s="271">
        <v>0</v>
      </c>
      <c r="U36" s="269">
        <f t="shared" si="14"/>
        <v>0</v>
      </c>
      <c r="V36" s="566" t="s">
        <v>182</v>
      </c>
      <c r="W36" s="550">
        <v>187</v>
      </c>
      <c r="X36" s="551">
        <v>0</v>
      </c>
      <c r="Y36" s="550">
        <v>220</v>
      </c>
      <c r="Z36" s="550">
        <v>300</v>
      </c>
      <c r="AA36" s="550">
        <v>0</v>
      </c>
      <c r="AB36" s="551">
        <v>0</v>
      </c>
      <c r="AC36" s="551">
        <f t="shared" si="5"/>
        <v>707</v>
      </c>
      <c r="AD36" s="50">
        <v>141</v>
      </c>
      <c r="AE36" s="47">
        <f t="shared" si="6"/>
        <v>848</v>
      </c>
    </row>
    <row r="37" spans="1:31" ht="18.75" customHeight="1">
      <c r="A37" s="499" t="s">
        <v>92</v>
      </c>
      <c r="B37" s="217"/>
      <c r="C37" s="217"/>
      <c r="D37" s="399" t="s">
        <v>11</v>
      </c>
      <c r="E37" s="200">
        <v>27</v>
      </c>
      <c r="F37" s="114">
        <v>1</v>
      </c>
      <c r="G37" s="112">
        <f t="shared" si="9"/>
        <v>27</v>
      </c>
      <c r="H37" s="114">
        <v>1</v>
      </c>
      <c r="I37" s="112">
        <f t="shared" si="10"/>
        <v>27</v>
      </c>
      <c r="J37" s="34">
        <v>1</v>
      </c>
      <c r="K37" s="35">
        <f t="shared" si="11"/>
        <v>27</v>
      </c>
      <c r="L37" s="380" t="s">
        <v>80</v>
      </c>
      <c r="M37" s="202">
        <v>7.5</v>
      </c>
      <c r="N37" s="92">
        <v>1</v>
      </c>
      <c r="O37" s="79">
        <f t="shared" si="12"/>
        <v>7.5</v>
      </c>
      <c r="P37" s="83">
        <v>1</v>
      </c>
      <c r="Q37" s="79">
        <f t="shared" si="15"/>
        <v>7.5</v>
      </c>
      <c r="R37" s="270">
        <v>1</v>
      </c>
      <c r="S37" s="269">
        <f t="shared" si="13"/>
        <v>7.5</v>
      </c>
      <c r="T37" s="270">
        <v>1</v>
      </c>
      <c r="U37" s="269">
        <f t="shared" si="14"/>
        <v>7.5</v>
      </c>
      <c r="V37" s="567" t="s">
        <v>183</v>
      </c>
      <c r="W37" s="552">
        <v>187</v>
      </c>
      <c r="X37" s="553">
        <v>0</v>
      </c>
      <c r="Y37" s="552">
        <v>220</v>
      </c>
      <c r="Z37" s="552">
        <v>170</v>
      </c>
      <c r="AA37" s="552">
        <v>0</v>
      </c>
      <c r="AB37" s="553">
        <v>0</v>
      </c>
      <c r="AC37" s="553">
        <f t="shared" si="5"/>
        <v>577</v>
      </c>
      <c r="AD37" s="50">
        <v>141</v>
      </c>
      <c r="AE37" s="47">
        <f t="shared" si="6"/>
        <v>718</v>
      </c>
    </row>
    <row r="38" spans="1:31" ht="18.75" customHeight="1">
      <c r="A38" s="494" t="s">
        <v>49</v>
      </c>
      <c r="B38" s="217"/>
      <c r="C38" s="217"/>
      <c r="D38" s="403" t="s">
        <v>50</v>
      </c>
      <c r="E38" s="224">
        <v>7.6</v>
      </c>
      <c r="F38" s="125">
        <v>8</v>
      </c>
      <c r="G38" s="124">
        <f t="shared" si="9"/>
        <v>60.8</v>
      </c>
      <c r="H38" s="126">
        <v>8</v>
      </c>
      <c r="I38" s="124">
        <f t="shared" si="10"/>
        <v>60.8</v>
      </c>
      <c r="J38" s="16">
        <v>8</v>
      </c>
      <c r="K38" s="41">
        <f t="shared" si="11"/>
        <v>60.8</v>
      </c>
      <c r="L38" s="380"/>
      <c r="M38" s="224">
        <v>7.6</v>
      </c>
      <c r="N38" s="78">
        <v>8</v>
      </c>
      <c r="O38" s="79">
        <f t="shared" si="12"/>
        <v>60.8</v>
      </c>
      <c r="P38" s="80">
        <v>10</v>
      </c>
      <c r="Q38" s="79">
        <f t="shared" si="15"/>
        <v>76</v>
      </c>
      <c r="R38" s="271">
        <v>10</v>
      </c>
      <c r="S38" s="269">
        <f t="shared" si="13"/>
        <v>76</v>
      </c>
      <c r="T38" s="271">
        <v>10</v>
      </c>
      <c r="U38" s="269">
        <f t="shared" si="14"/>
        <v>76</v>
      </c>
      <c r="V38" s="568" t="s">
        <v>184</v>
      </c>
      <c r="W38" s="552">
        <v>187</v>
      </c>
      <c r="X38" s="553">
        <v>0</v>
      </c>
      <c r="Y38" s="552">
        <v>220</v>
      </c>
      <c r="Z38" s="552">
        <v>0</v>
      </c>
      <c r="AA38" s="552">
        <v>0</v>
      </c>
      <c r="AB38" s="553">
        <v>0</v>
      </c>
      <c r="AC38" s="553">
        <f t="shared" si="5"/>
        <v>407</v>
      </c>
      <c r="AD38" s="50">
        <v>141</v>
      </c>
      <c r="AE38" s="47">
        <f t="shared" si="6"/>
        <v>548</v>
      </c>
    </row>
    <row r="39" spans="1:31" ht="18.75" customHeight="1">
      <c r="A39" s="494" t="s">
        <v>51</v>
      </c>
      <c r="B39" s="217"/>
      <c r="C39" s="217"/>
      <c r="D39" s="403" t="s">
        <v>50</v>
      </c>
      <c r="E39" s="224">
        <v>7.6</v>
      </c>
      <c r="F39" s="125">
        <v>1.4</v>
      </c>
      <c r="G39" s="124">
        <f t="shared" si="9"/>
        <v>10.639999999999999</v>
      </c>
      <c r="H39" s="126">
        <v>1.4</v>
      </c>
      <c r="I39" s="124">
        <f t="shared" si="10"/>
        <v>10.639999999999999</v>
      </c>
      <c r="J39" s="16">
        <v>1.4</v>
      </c>
      <c r="K39" s="41">
        <f t="shared" si="11"/>
        <v>10.639999999999999</v>
      </c>
      <c r="L39" s="380"/>
      <c r="M39" s="224">
        <v>7.6</v>
      </c>
      <c r="N39" s="78">
        <v>1.4</v>
      </c>
      <c r="O39" s="79">
        <f t="shared" si="12"/>
        <v>10.639999999999999</v>
      </c>
      <c r="P39" s="80">
        <v>1.4</v>
      </c>
      <c r="Q39" s="79">
        <f t="shared" si="15"/>
        <v>10.639999999999999</v>
      </c>
      <c r="R39" s="271">
        <v>1.4</v>
      </c>
      <c r="S39" s="269">
        <f t="shared" si="13"/>
        <v>10.639999999999999</v>
      </c>
      <c r="T39" s="271">
        <v>1.4</v>
      </c>
      <c r="U39" s="269">
        <f t="shared" si="14"/>
        <v>10.639999999999999</v>
      </c>
      <c r="V39" s="565" t="s">
        <v>185</v>
      </c>
      <c r="W39" s="554">
        <v>187</v>
      </c>
      <c r="X39" s="555">
        <v>0</v>
      </c>
      <c r="Y39" s="554">
        <v>0</v>
      </c>
      <c r="Z39" s="554">
        <v>0</v>
      </c>
      <c r="AA39" s="554">
        <v>0</v>
      </c>
      <c r="AB39" s="555">
        <v>0</v>
      </c>
      <c r="AC39" s="555">
        <f t="shared" si="5"/>
        <v>187</v>
      </c>
      <c r="AD39" s="50">
        <v>141</v>
      </c>
      <c r="AE39" s="47">
        <f t="shared" si="6"/>
        <v>328</v>
      </c>
    </row>
    <row r="40" spans="1:31" ht="18.75" customHeight="1">
      <c r="A40" s="494" t="s">
        <v>52</v>
      </c>
      <c r="B40" s="217"/>
      <c r="C40" s="217"/>
      <c r="D40" s="403" t="s">
        <v>44</v>
      </c>
      <c r="E40" s="203">
        <v>0.019</v>
      </c>
      <c r="F40" s="114">
        <f>F30</f>
        <v>3000</v>
      </c>
      <c r="G40" s="112">
        <f t="shared" si="9"/>
        <v>57</v>
      </c>
      <c r="H40" s="114">
        <f>H30</f>
        <v>4000</v>
      </c>
      <c r="I40" s="112">
        <f t="shared" si="10"/>
        <v>76</v>
      </c>
      <c r="J40" s="34">
        <f>J30</f>
        <v>4000</v>
      </c>
      <c r="K40" s="35">
        <f t="shared" si="11"/>
        <v>76</v>
      </c>
      <c r="L40" s="380"/>
      <c r="M40" s="203">
        <v>0.019</v>
      </c>
      <c r="N40" s="80">
        <f>N30</f>
        <v>2000</v>
      </c>
      <c r="O40" s="79">
        <f t="shared" si="12"/>
        <v>38</v>
      </c>
      <c r="P40" s="80">
        <f>P30</f>
        <v>3000</v>
      </c>
      <c r="Q40" s="79">
        <f t="shared" si="15"/>
        <v>57</v>
      </c>
      <c r="R40" s="271">
        <f>R30</f>
        <v>2000</v>
      </c>
      <c r="S40" s="269">
        <f t="shared" si="13"/>
        <v>38</v>
      </c>
      <c r="T40" s="271">
        <f>T30</f>
        <v>2000</v>
      </c>
      <c r="U40" s="269">
        <f t="shared" si="14"/>
        <v>38</v>
      </c>
      <c r="W40"/>
      <c r="X40"/>
      <c r="Y40"/>
      <c r="Z40"/>
      <c r="AA40"/>
      <c r="AB40"/>
      <c r="AC40"/>
      <c r="AD40" s="50">
        <v>141</v>
      </c>
      <c r="AE40" s="47">
        <f t="shared" si="6"/>
        <v>141</v>
      </c>
    </row>
    <row r="41" spans="1:29" ht="18.75" customHeight="1">
      <c r="A41" s="494" t="s">
        <v>53</v>
      </c>
      <c r="B41" s="217"/>
      <c r="C41" s="217"/>
      <c r="D41" s="403" t="s">
        <v>44</v>
      </c>
      <c r="E41" s="201">
        <v>0.015</v>
      </c>
      <c r="F41" s="113">
        <f>+F30-F32</f>
        <v>2750</v>
      </c>
      <c r="G41" s="112">
        <f t="shared" si="9"/>
        <v>41.25</v>
      </c>
      <c r="H41" s="113">
        <f>+H30-H32</f>
        <v>3750</v>
      </c>
      <c r="I41" s="112">
        <f t="shared" si="10"/>
        <v>56.25</v>
      </c>
      <c r="J41" s="33">
        <f>+J30-J32</f>
        <v>3750</v>
      </c>
      <c r="K41" s="35">
        <f t="shared" si="11"/>
        <v>56.25</v>
      </c>
      <c r="L41" s="380"/>
      <c r="M41" s="203">
        <v>0.015</v>
      </c>
      <c r="N41" s="78">
        <f>+N30-N32</f>
        <v>1795</v>
      </c>
      <c r="O41" s="79">
        <f t="shared" si="12"/>
        <v>26.925</v>
      </c>
      <c r="P41" s="78">
        <f>+P30-P32</f>
        <v>2735</v>
      </c>
      <c r="Q41" s="79">
        <f t="shared" si="15"/>
        <v>41.025</v>
      </c>
      <c r="R41" s="267">
        <f>+R30-R32</f>
        <v>1795</v>
      </c>
      <c r="S41" s="269">
        <f t="shared" si="13"/>
        <v>26.925</v>
      </c>
      <c r="T41" s="267">
        <f>+T30-T32</f>
        <v>1795</v>
      </c>
      <c r="U41" s="269">
        <f t="shared" si="14"/>
        <v>26.925</v>
      </c>
      <c r="V41" s="581" t="s">
        <v>186</v>
      </c>
      <c r="W41" s="598"/>
      <c r="X41" s="598"/>
      <c r="Y41" s="598"/>
      <c r="Z41" s="598"/>
      <c r="AA41" s="598"/>
      <c r="AB41" s="598"/>
      <c r="AC41" s="598"/>
    </row>
    <row r="42" spans="1:29" ht="18.75" customHeight="1">
      <c r="A42" s="494" t="s">
        <v>54</v>
      </c>
      <c r="B42" s="217"/>
      <c r="C42" s="217"/>
      <c r="D42" s="403" t="s">
        <v>42</v>
      </c>
      <c r="E42" s="122">
        <v>0.5</v>
      </c>
      <c r="F42" s="116">
        <f>(SUM(G31:G41)+167)</f>
        <v>597.79</v>
      </c>
      <c r="G42" s="112"/>
      <c r="H42" s="117">
        <f>(SUM(I31:I41)+167)</f>
        <v>641.142</v>
      </c>
      <c r="I42" s="112"/>
      <c r="J42" s="36">
        <f>(SUM(K31:K41)+167)</f>
        <v>727.95</v>
      </c>
      <c r="K42" s="35"/>
      <c r="L42" s="380"/>
      <c r="M42" s="76">
        <v>0.5</v>
      </c>
      <c r="N42" s="84">
        <f>(SUM(O31:O41)+167)</f>
        <v>384.66499999999996</v>
      </c>
      <c r="O42" s="79"/>
      <c r="P42" s="85">
        <f>(SUM(Q31:Q41)+167)</f>
        <v>640.0649999999999</v>
      </c>
      <c r="Q42" s="79"/>
      <c r="R42" s="272">
        <f>(SUM(S31:S41)+167)</f>
        <v>410.865</v>
      </c>
      <c r="S42" s="269"/>
      <c r="T42" s="272">
        <f>(SUM(U31:U41)+167)</f>
        <v>410.865</v>
      </c>
      <c r="U42" s="269"/>
      <c r="V42" s="597" t="s">
        <v>187</v>
      </c>
      <c r="W42" s="598"/>
      <c r="X42" s="598"/>
      <c r="Y42" s="598"/>
      <c r="Z42" s="598"/>
      <c r="AA42" s="598"/>
      <c r="AB42" s="598"/>
      <c r="AC42" s="583"/>
    </row>
    <row r="43" spans="1:34" ht="18.75" customHeight="1" thickBot="1">
      <c r="A43" s="496" t="s">
        <v>56</v>
      </c>
      <c r="B43" s="217"/>
      <c r="C43" s="217"/>
      <c r="D43" s="404" t="s">
        <v>42</v>
      </c>
      <c r="E43" s="118">
        <v>0.05</v>
      </c>
      <c r="F43" s="119">
        <f>+E42*F42</f>
        <v>298.895</v>
      </c>
      <c r="G43" s="120">
        <f>E43*F43</f>
        <v>14.944749999999999</v>
      </c>
      <c r="H43" s="121">
        <f>+E42*H42</f>
        <v>320.571</v>
      </c>
      <c r="I43" s="120">
        <f>E43*H43</f>
        <v>16.028550000000003</v>
      </c>
      <c r="J43" s="26">
        <f>+E42*J42</f>
        <v>363.975</v>
      </c>
      <c r="K43" s="366">
        <f>E43*J43</f>
        <v>18.19875</v>
      </c>
      <c r="L43" s="380"/>
      <c r="M43" s="86">
        <v>0.05</v>
      </c>
      <c r="N43" s="87">
        <f>+M42*N42</f>
        <v>192.33249999999998</v>
      </c>
      <c r="O43" s="88">
        <f>M43*N43</f>
        <v>9.616624999999999</v>
      </c>
      <c r="P43" s="89">
        <f>+M42*P42</f>
        <v>320.03249999999997</v>
      </c>
      <c r="Q43" s="88">
        <f>M43*P43</f>
        <v>16.001625</v>
      </c>
      <c r="R43" s="272">
        <f>+M42*R42</f>
        <v>205.4325</v>
      </c>
      <c r="S43" s="269">
        <f>M43*R43</f>
        <v>10.271625</v>
      </c>
      <c r="T43" s="272">
        <f>+M42*T42</f>
        <v>205.4325</v>
      </c>
      <c r="U43" s="269">
        <f t="shared" si="14"/>
        <v>10.271625</v>
      </c>
      <c r="V43" s="581" t="s">
        <v>188</v>
      </c>
      <c r="W43" s="582"/>
      <c r="X43" s="582"/>
      <c r="Y43" s="582"/>
      <c r="Z43" s="582"/>
      <c r="AA43" s="582"/>
      <c r="AB43" s="582"/>
      <c r="AC43" s="582"/>
      <c r="AG43" s="46"/>
      <c r="AH43" s="32"/>
    </row>
    <row r="44" spans="1:29" ht="18.75" customHeight="1" thickBot="1">
      <c r="A44" s="160" t="s">
        <v>59</v>
      </c>
      <c r="B44" s="214"/>
      <c r="C44" s="214"/>
      <c r="D44" s="405"/>
      <c r="E44" s="144"/>
      <c r="F44" s="151"/>
      <c r="G44" s="145">
        <f>SUM(G31:G43)</f>
        <v>445.73475</v>
      </c>
      <c r="H44" s="146"/>
      <c r="I44" s="145">
        <f>SUM(I31:I43)</f>
        <v>490.17055</v>
      </c>
      <c r="J44" s="147"/>
      <c r="K44" s="264">
        <f>SUM(K31:K43)</f>
        <v>579.1487500000001</v>
      </c>
      <c r="L44" s="379"/>
      <c r="M44" s="148"/>
      <c r="N44" s="152"/>
      <c r="O44" s="149">
        <f>SUM(O31:O43)</f>
        <v>227.281625</v>
      </c>
      <c r="P44" s="150"/>
      <c r="Q44" s="266">
        <f>SUM(Q31:Q43)</f>
        <v>489.06662499999993</v>
      </c>
      <c r="R44" s="449"/>
      <c r="S44" s="268">
        <f>SUM(S31:S43)</f>
        <v>254.136625</v>
      </c>
      <c r="T44" s="449"/>
      <c r="U44" s="268">
        <f>SUM(U31:U43)</f>
        <v>254.136625</v>
      </c>
      <c r="V44" s="581" t="s">
        <v>170</v>
      </c>
      <c r="W44" s="583"/>
      <c r="X44" s="583"/>
      <c r="Y44" s="583"/>
      <c r="Z44" s="583"/>
      <c r="AA44" s="583"/>
      <c r="AB44" s="583"/>
      <c r="AC44" s="583"/>
    </row>
    <row r="45" spans="1:29" ht="18.75" customHeight="1">
      <c r="A45" s="220"/>
      <c r="B45" s="217"/>
      <c r="C45" s="217"/>
      <c r="D45" s="397" t="s">
        <v>39</v>
      </c>
      <c r="E45" s="154" t="s">
        <v>40</v>
      </c>
      <c r="F45" s="155" t="s">
        <v>41</v>
      </c>
      <c r="G45" s="156" t="s">
        <v>42</v>
      </c>
      <c r="H45" s="157" t="s">
        <v>43</v>
      </c>
      <c r="I45" s="156" t="s">
        <v>42</v>
      </c>
      <c r="J45" s="158" t="s">
        <v>41</v>
      </c>
      <c r="K45" s="365" t="s">
        <v>42</v>
      </c>
      <c r="L45" s="378"/>
      <c r="M45" s="154" t="s">
        <v>40</v>
      </c>
      <c r="N45" s="155" t="s">
        <v>41</v>
      </c>
      <c r="O45" s="156" t="s">
        <v>42</v>
      </c>
      <c r="P45" s="157" t="s">
        <v>43</v>
      </c>
      <c r="Q45" s="156" t="s">
        <v>42</v>
      </c>
      <c r="R45" s="61" t="s">
        <v>41</v>
      </c>
      <c r="S45" s="62" t="s">
        <v>42</v>
      </c>
      <c r="T45" s="61" t="s">
        <v>41</v>
      </c>
      <c r="U45" s="62" t="s">
        <v>42</v>
      </c>
      <c r="V45" s="582" t="s">
        <v>171</v>
      </c>
      <c r="W45" s="583"/>
      <c r="X45" s="583"/>
      <c r="Y45" s="583"/>
      <c r="Z45" s="583"/>
      <c r="AA45" s="583"/>
      <c r="AB45" s="583"/>
      <c r="AC45" s="583"/>
    </row>
    <row r="46" spans="1:34" s="32" customFormat="1" ht="18.75" customHeight="1">
      <c r="A46" s="497" t="s">
        <v>60</v>
      </c>
      <c r="B46" s="454"/>
      <c r="C46" s="454"/>
      <c r="D46" s="455" t="s">
        <v>44</v>
      </c>
      <c r="E46" s="456"/>
      <c r="F46" s="457">
        <v>3000</v>
      </c>
      <c r="G46" s="458"/>
      <c r="H46" s="455">
        <v>4000</v>
      </c>
      <c r="I46" s="458"/>
      <c r="J46" s="455">
        <v>5000</v>
      </c>
      <c r="K46" s="458"/>
      <c r="L46" s="452"/>
      <c r="M46" s="456"/>
      <c r="N46" s="459">
        <v>2200</v>
      </c>
      <c r="O46" s="460"/>
      <c r="P46" s="461">
        <f>'B-alue'!D62</f>
        <v>4000</v>
      </c>
      <c r="Q46" s="460"/>
      <c r="R46" s="462">
        <f>'B-alue'!D24</f>
        <v>2000</v>
      </c>
      <c r="S46" s="498"/>
      <c r="T46" s="462">
        <f>'B-alue'!D41</f>
        <v>2000</v>
      </c>
      <c r="U46" s="498"/>
      <c r="V46" s="598" t="s">
        <v>172</v>
      </c>
      <c r="W46" s="583"/>
      <c r="X46" s="583"/>
      <c r="Y46" s="583"/>
      <c r="Z46" s="583"/>
      <c r="AA46" s="583"/>
      <c r="AB46" s="583"/>
      <c r="AC46" s="583"/>
      <c r="AD46" s="52"/>
      <c r="AE46" s="7"/>
      <c r="AF46" s="7"/>
      <c r="AG46" s="7"/>
      <c r="AH46"/>
    </row>
    <row r="47" spans="1:29" ht="18.75" customHeight="1">
      <c r="A47" s="495" t="s">
        <v>33</v>
      </c>
      <c r="B47" s="217"/>
      <c r="C47" s="217"/>
      <c r="D47" s="402"/>
      <c r="E47" s="122"/>
      <c r="F47" s="123"/>
      <c r="G47" s="124"/>
      <c r="H47" s="125"/>
      <c r="I47" s="124"/>
      <c r="J47" s="37"/>
      <c r="K47" s="41"/>
      <c r="L47" s="380"/>
      <c r="M47" s="90"/>
      <c r="N47" s="82"/>
      <c r="O47" s="91"/>
      <c r="P47" s="92"/>
      <c r="Q47" s="91"/>
      <c r="R47" s="278"/>
      <c r="S47" s="279"/>
      <c r="T47" s="278"/>
      <c r="U47" s="279"/>
      <c r="V47" s="581" t="s">
        <v>189</v>
      </c>
      <c r="W47" s="598"/>
      <c r="X47" s="598"/>
      <c r="Y47" s="598"/>
      <c r="Z47" s="598"/>
      <c r="AA47" s="598"/>
      <c r="AB47" s="598"/>
      <c r="AC47" s="598"/>
    </row>
    <row r="48" spans="1:29" ht="18.75" customHeight="1">
      <c r="A48" s="494" t="s">
        <v>45</v>
      </c>
      <c r="B48" s="217"/>
      <c r="C48" s="217"/>
      <c r="D48" s="403" t="s">
        <v>44</v>
      </c>
      <c r="E48" s="201">
        <v>0.33</v>
      </c>
      <c r="F48" s="125">
        <v>180</v>
      </c>
      <c r="G48" s="134">
        <f aca="true" t="shared" si="16" ref="G48:G57">E48*F48</f>
        <v>59.400000000000006</v>
      </c>
      <c r="H48" s="228">
        <v>180</v>
      </c>
      <c r="I48" s="124">
        <f aca="true" t="shared" si="17" ref="I48:I57">E48*H48</f>
        <v>59.400000000000006</v>
      </c>
      <c r="J48" s="37">
        <v>180</v>
      </c>
      <c r="K48" s="41">
        <f aca="true" t="shared" si="18" ref="K48:K57">E48*J48</f>
        <v>59.400000000000006</v>
      </c>
      <c r="L48" s="380"/>
      <c r="M48" s="198">
        <v>0.38</v>
      </c>
      <c r="N48" s="92">
        <v>180</v>
      </c>
      <c r="O48" s="81">
        <f>M48*N48</f>
        <v>68.4</v>
      </c>
      <c r="P48" s="228">
        <v>180</v>
      </c>
      <c r="Q48" s="91">
        <f>M48*P48</f>
        <v>68.4</v>
      </c>
      <c r="R48" s="373">
        <v>180</v>
      </c>
      <c r="S48" s="279">
        <f aca="true" t="shared" si="19" ref="S48:S57">M48*R48</f>
        <v>68.4</v>
      </c>
      <c r="T48" s="373">
        <v>180</v>
      </c>
      <c r="U48" s="269">
        <f aca="true" t="shared" si="20" ref="U48:U57">M48*T48</f>
        <v>68.4</v>
      </c>
      <c r="V48" s="581" t="s">
        <v>190</v>
      </c>
      <c r="W48" s="598"/>
      <c r="X48" s="598"/>
      <c r="Y48" s="598"/>
      <c r="Z48" s="598"/>
      <c r="AA48" s="598"/>
      <c r="AB48" s="598"/>
      <c r="AC48" s="598"/>
    </row>
    <row r="49" spans="1:29" ht="18.75" customHeight="1">
      <c r="A49" s="494" t="s">
        <v>46</v>
      </c>
      <c r="B49" s="217"/>
      <c r="C49" s="217"/>
      <c r="D49" s="403" t="s">
        <v>44</v>
      </c>
      <c r="E49" s="224">
        <v>0.49</v>
      </c>
      <c r="F49" s="125">
        <v>0</v>
      </c>
      <c r="G49" s="134">
        <f t="shared" si="16"/>
        <v>0</v>
      </c>
      <c r="H49" s="229">
        <v>0</v>
      </c>
      <c r="I49" s="124">
        <f t="shared" si="17"/>
        <v>0</v>
      </c>
      <c r="J49" s="16">
        <v>0</v>
      </c>
      <c r="K49" s="41">
        <f t="shared" si="18"/>
        <v>0</v>
      </c>
      <c r="L49" s="380"/>
      <c r="M49" s="224">
        <v>0.63</v>
      </c>
      <c r="N49" s="92">
        <v>0</v>
      </c>
      <c r="O49" s="81">
        <f>M49*N49</f>
        <v>0</v>
      </c>
      <c r="P49" s="229">
        <v>0</v>
      </c>
      <c r="Q49" s="91">
        <f>M49*P49</f>
        <v>0</v>
      </c>
      <c r="R49" s="374">
        <v>0</v>
      </c>
      <c r="S49" s="279">
        <f t="shared" si="19"/>
        <v>0</v>
      </c>
      <c r="T49" s="374">
        <v>0</v>
      </c>
      <c r="U49" s="269">
        <f t="shared" si="20"/>
        <v>0</v>
      </c>
      <c r="V49" s="581" t="s">
        <v>191</v>
      </c>
      <c r="W49" s="598"/>
      <c r="X49" s="598"/>
      <c r="Y49" s="598"/>
      <c r="Z49" s="598"/>
      <c r="AA49" s="598"/>
      <c r="AB49" s="598"/>
      <c r="AC49" s="598"/>
    </row>
    <row r="50" spans="1:29" ht="18.75" customHeight="1">
      <c r="A50" s="539" t="s">
        <v>165</v>
      </c>
      <c r="B50" s="217"/>
      <c r="C50" s="217"/>
      <c r="D50" s="403" t="s">
        <v>44</v>
      </c>
      <c r="E50" s="201">
        <f>E2</f>
        <v>0.412</v>
      </c>
      <c r="F50" s="125">
        <v>350</v>
      </c>
      <c r="G50" s="134">
        <f t="shared" si="16"/>
        <v>144.2</v>
      </c>
      <c r="H50" s="229">
        <v>296</v>
      </c>
      <c r="I50" s="124">
        <f t="shared" si="17"/>
        <v>121.952</v>
      </c>
      <c r="J50" s="16">
        <v>540</v>
      </c>
      <c r="K50" s="41">
        <f t="shared" si="18"/>
        <v>222.48</v>
      </c>
      <c r="L50" s="380" t="s">
        <v>79</v>
      </c>
      <c r="M50" s="203">
        <f>E10</f>
        <v>0.265</v>
      </c>
      <c r="N50" s="78">
        <v>0</v>
      </c>
      <c r="O50" s="79">
        <f aca="true" t="shared" si="21" ref="O50:O57">M50*N50</f>
        <v>0</v>
      </c>
      <c r="P50" s="225">
        <v>0</v>
      </c>
      <c r="Q50" s="79">
        <f aca="true" t="shared" si="22" ref="Q50:Q57">M50*P50</f>
        <v>0</v>
      </c>
      <c r="R50" s="372">
        <v>0</v>
      </c>
      <c r="S50" s="269">
        <f t="shared" si="19"/>
        <v>0</v>
      </c>
      <c r="T50" s="372">
        <v>0</v>
      </c>
      <c r="U50" s="269">
        <f t="shared" si="20"/>
        <v>0</v>
      </c>
      <c r="V50" s="581" t="s">
        <v>192</v>
      </c>
      <c r="W50" s="598"/>
      <c r="X50" s="598"/>
      <c r="Y50" s="598"/>
      <c r="Z50" s="598"/>
      <c r="AA50" s="598"/>
      <c r="AB50" s="598"/>
      <c r="AC50" s="598"/>
    </row>
    <row r="51" spans="1:29" ht="18.75" customHeight="1">
      <c r="A51" s="494" t="s">
        <v>47</v>
      </c>
      <c r="B51" s="217"/>
      <c r="C51" s="217"/>
      <c r="D51" s="403" t="s">
        <v>58</v>
      </c>
      <c r="E51" s="200">
        <v>44</v>
      </c>
      <c r="F51" s="125">
        <v>0</v>
      </c>
      <c r="G51" s="124">
        <f t="shared" si="16"/>
        <v>0</v>
      </c>
      <c r="H51" s="126">
        <v>0.25</v>
      </c>
      <c r="I51" s="124">
        <f t="shared" si="17"/>
        <v>11</v>
      </c>
      <c r="J51" s="16">
        <v>0.5</v>
      </c>
      <c r="K51" s="41">
        <f t="shared" si="18"/>
        <v>22</v>
      </c>
      <c r="L51" s="380"/>
      <c r="M51" s="199">
        <v>44</v>
      </c>
      <c r="N51" s="92">
        <v>0</v>
      </c>
      <c r="O51" s="79">
        <f t="shared" si="21"/>
        <v>0</v>
      </c>
      <c r="P51" s="83">
        <v>0</v>
      </c>
      <c r="Q51" s="79">
        <f t="shared" si="22"/>
        <v>0</v>
      </c>
      <c r="R51" s="270">
        <v>0.25</v>
      </c>
      <c r="S51" s="269">
        <f t="shared" si="19"/>
        <v>11</v>
      </c>
      <c r="T51" s="270">
        <v>0.25</v>
      </c>
      <c r="U51" s="269">
        <f t="shared" si="20"/>
        <v>11</v>
      </c>
      <c r="W51"/>
      <c r="X51" s="561"/>
      <c r="Y51" s="569"/>
      <c r="Z51" s="561" t="s">
        <v>193</v>
      </c>
      <c r="AA51"/>
      <c r="AB51"/>
      <c r="AC51"/>
    </row>
    <row r="52" spans="1:29" ht="18.75" customHeight="1">
      <c r="A52" s="494"/>
      <c r="B52" s="217"/>
      <c r="C52" s="217"/>
      <c r="D52" s="403"/>
      <c r="E52" s="200"/>
      <c r="F52" s="125"/>
      <c r="G52" s="124"/>
      <c r="H52" s="126"/>
      <c r="I52" s="124"/>
      <c r="J52" s="16"/>
      <c r="K52" s="41"/>
      <c r="L52" s="380" t="s">
        <v>81</v>
      </c>
      <c r="M52" s="200">
        <v>0</v>
      </c>
      <c r="N52" s="80">
        <v>0</v>
      </c>
      <c r="O52" s="79">
        <f t="shared" si="21"/>
        <v>0</v>
      </c>
      <c r="P52" s="80">
        <v>0</v>
      </c>
      <c r="Q52" s="79">
        <f t="shared" si="22"/>
        <v>0</v>
      </c>
      <c r="R52" s="271">
        <v>0</v>
      </c>
      <c r="S52" s="269">
        <f t="shared" si="19"/>
        <v>0</v>
      </c>
      <c r="T52" s="271">
        <v>0</v>
      </c>
      <c r="U52" s="269">
        <f t="shared" si="20"/>
        <v>0</v>
      </c>
      <c r="W52"/>
      <c r="X52"/>
      <c r="Y52"/>
      <c r="Z52"/>
      <c r="AA52"/>
      <c r="AB52"/>
      <c r="AC52"/>
    </row>
    <row r="53" spans="1:29" ht="18.75" customHeight="1">
      <c r="A53" s="499" t="s">
        <v>92</v>
      </c>
      <c r="B53" s="217"/>
      <c r="C53" s="217"/>
      <c r="D53" s="403" t="s">
        <v>11</v>
      </c>
      <c r="E53" s="200">
        <v>29</v>
      </c>
      <c r="F53" s="125">
        <v>1</v>
      </c>
      <c r="G53" s="124">
        <f t="shared" si="16"/>
        <v>29</v>
      </c>
      <c r="H53" s="126">
        <v>1</v>
      </c>
      <c r="I53" s="124">
        <f t="shared" si="17"/>
        <v>29</v>
      </c>
      <c r="J53" s="16">
        <v>1</v>
      </c>
      <c r="K53" s="41">
        <f t="shared" si="18"/>
        <v>29</v>
      </c>
      <c r="L53" s="380" t="s">
        <v>80</v>
      </c>
      <c r="M53" s="202">
        <v>7.5</v>
      </c>
      <c r="N53" s="92">
        <v>1</v>
      </c>
      <c r="O53" s="79">
        <f t="shared" si="21"/>
        <v>7.5</v>
      </c>
      <c r="P53" s="83">
        <v>1</v>
      </c>
      <c r="Q53" s="79">
        <f t="shared" si="22"/>
        <v>7.5</v>
      </c>
      <c r="R53" s="270">
        <v>1</v>
      </c>
      <c r="S53" s="269">
        <f t="shared" si="19"/>
        <v>7.5</v>
      </c>
      <c r="T53" s="270">
        <v>1</v>
      </c>
      <c r="U53" s="269">
        <f t="shared" si="20"/>
        <v>7.5</v>
      </c>
      <c r="W53"/>
      <c r="X53"/>
      <c r="Y53"/>
      <c r="Z53"/>
      <c r="AA53"/>
      <c r="AB53"/>
      <c r="AC53"/>
    </row>
    <row r="54" spans="1:21" ht="18.75" customHeight="1">
      <c r="A54" s="494" t="s">
        <v>49</v>
      </c>
      <c r="B54" s="217"/>
      <c r="C54" s="217"/>
      <c r="D54" s="403" t="s">
        <v>50</v>
      </c>
      <c r="E54" s="224">
        <v>7.6</v>
      </c>
      <c r="F54" s="125">
        <v>8</v>
      </c>
      <c r="G54" s="124">
        <f t="shared" si="16"/>
        <v>60.8</v>
      </c>
      <c r="H54" s="126">
        <v>8</v>
      </c>
      <c r="I54" s="124">
        <f t="shared" si="17"/>
        <v>60.8</v>
      </c>
      <c r="J54" s="16">
        <v>8</v>
      </c>
      <c r="K54" s="41">
        <f t="shared" si="18"/>
        <v>60.8</v>
      </c>
      <c r="L54" s="380"/>
      <c r="M54" s="224">
        <v>7.6</v>
      </c>
      <c r="N54" s="92">
        <v>8</v>
      </c>
      <c r="O54" s="91">
        <f t="shared" si="21"/>
        <v>60.8</v>
      </c>
      <c r="P54" s="83">
        <v>10</v>
      </c>
      <c r="Q54" s="79">
        <f t="shared" si="22"/>
        <v>76</v>
      </c>
      <c r="R54" s="270">
        <v>10</v>
      </c>
      <c r="S54" s="269">
        <f t="shared" si="19"/>
        <v>76</v>
      </c>
      <c r="T54" s="270">
        <v>10</v>
      </c>
      <c r="U54" s="269">
        <f t="shared" si="20"/>
        <v>76</v>
      </c>
    </row>
    <row r="55" spans="1:21" ht="18.75" customHeight="1">
      <c r="A55" s="494" t="s">
        <v>51</v>
      </c>
      <c r="B55" s="217"/>
      <c r="C55" s="217"/>
      <c r="D55" s="403" t="s">
        <v>50</v>
      </c>
      <c r="E55" s="224">
        <v>7.6</v>
      </c>
      <c r="F55" s="125">
        <v>1.4</v>
      </c>
      <c r="G55" s="124">
        <f t="shared" si="16"/>
        <v>10.639999999999999</v>
      </c>
      <c r="H55" s="126">
        <v>1.4</v>
      </c>
      <c r="I55" s="124">
        <f t="shared" si="17"/>
        <v>10.639999999999999</v>
      </c>
      <c r="J55" s="16">
        <v>1.4</v>
      </c>
      <c r="K55" s="41">
        <f t="shared" si="18"/>
        <v>10.639999999999999</v>
      </c>
      <c r="L55" s="380"/>
      <c r="M55" s="224">
        <v>7.6</v>
      </c>
      <c r="N55" s="92">
        <v>1.4</v>
      </c>
      <c r="O55" s="91">
        <f t="shared" si="21"/>
        <v>10.639999999999999</v>
      </c>
      <c r="P55" s="83">
        <v>1.4</v>
      </c>
      <c r="Q55" s="79">
        <f t="shared" si="22"/>
        <v>10.639999999999999</v>
      </c>
      <c r="R55" s="270">
        <v>1.4</v>
      </c>
      <c r="S55" s="269">
        <f t="shared" si="19"/>
        <v>10.639999999999999</v>
      </c>
      <c r="T55" s="270">
        <v>1.4</v>
      </c>
      <c r="U55" s="269">
        <f t="shared" si="20"/>
        <v>10.639999999999999</v>
      </c>
    </row>
    <row r="56" spans="1:21" ht="18.75" customHeight="1">
      <c r="A56" s="494" t="s">
        <v>52</v>
      </c>
      <c r="B56" s="217"/>
      <c r="C56" s="217"/>
      <c r="D56" s="403" t="s">
        <v>44</v>
      </c>
      <c r="E56" s="203">
        <v>0.019</v>
      </c>
      <c r="F56" s="125">
        <f>F46</f>
        <v>3000</v>
      </c>
      <c r="G56" s="124">
        <f t="shared" si="16"/>
        <v>57</v>
      </c>
      <c r="H56" s="126">
        <f>H46</f>
        <v>4000</v>
      </c>
      <c r="I56" s="124">
        <f t="shared" si="17"/>
        <v>76</v>
      </c>
      <c r="J56" s="16">
        <f>J46</f>
        <v>5000</v>
      </c>
      <c r="K56" s="41">
        <f t="shared" si="18"/>
        <v>95</v>
      </c>
      <c r="L56" s="380"/>
      <c r="M56" s="203">
        <v>0.019</v>
      </c>
      <c r="N56" s="92">
        <f>N46</f>
        <v>2200</v>
      </c>
      <c r="O56" s="91">
        <f t="shared" si="21"/>
        <v>41.8</v>
      </c>
      <c r="P56" s="83">
        <f>P46</f>
        <v>4000</v>
      </c>
      <c r="Q56" s="79">
        <f t="shared" si="22"/>
        <v>76</v>
      </c>
      <c r="R56" s="270">
        <f>R46</f>
        <v>2000</v>
      </c>
      <c r="S56" s="269">
        <f t="shared" si="19"/>
        <v>38</v>
      </c>
      <c r="T56" s="270">
        <f>T46</f>
        <v>2000</v>
      </c>
      <c r="U56" s="269">
        <f t="shared" si="20"/>
        <v>38</v>
      </c>
    </row>
    <row r="57" spans="1:21" ht="18.75" customHeight="1">
      <c r="A57" s="494" t="s">
        <v>53</v>
      </c>
      <c r="B57" s="217"/>
      <c r="C57" s="217"/>
      <c r="D57" s="403" t="s">
        <v>44</v>
      </c>
      <c r="E57" s="201">
        <v>0.015</v>
      </c>
      <c r="F57" s="125">
        <f>F46-F48</f>
        <v>2820</v>
      </c>
      <c r="G57" s="124">
        <f t="shared" si="16"/>
        <v>42.3</v>
      </c>
      <c r="H57" s="126">
        <f>H46-H48</f>
        <v>3820</v>
      </c>
      <c r="I57" s="124">
        <f t="shared" si="17"/>
        <v>57.3</v>
      </c>
      <c r="J57" s="16">
        <f>J46-J48</f>
        <v>4820</v>
      </c>
      <c r="K57" s="41">
        <f t="shared" si="18"/>
        <v>72.3</v>
      </c>
      <c r="L57" s="380"/>
      <c r="M57" s="201">
        <v>0.015</v>
      </c>
      <c r="N57" s="92">
        <f>N46-N48</f>
        <v>2020</v>
      </c>
      <c r="O57" s="91">
        <f t="shared" si="21"/>
        <v>30.299999999999997</v>
      </c>
      <c r="P57" s="83">
        <f>P46-P48</f>
        <v>3820</v>
      </c>
      <c r="Q57" s="79">
        <f t="shared" si="22"/>
        <v>57.3</v>
      </c>
      <c r="R57" s="270">
        <f>R46-R48</f>
        <v>1820</v>
      </c>
      <c r="S57" s="269">
        <f t="shared" si="19"/>
        <v>27.3</v>
      </c>
      <c r="T57" s="270">
        <f>T46-T48</f>
        <v>1820</v>
      </c>
      <c r="U57" s="269">
        <f t="shared" si="20"/>
        <v>27.3</v>
      </c>
    </row>
    <row r="58" spans="1:34" ht="18.75" customHeight="1">
      <c r="A58" s="494" t="s">
        <v>54</v>
      </c>
      <c r="B58" s="217"/>
      <c r="C58" s="217"/>
      <c r="D58" s="403" t="s">
        <v>42</v>
      </c>
      <c r="E58" s="122">
        <v>0.5</v>
      </c>
      <c r="F58" s="127">
        <f>(SUM(G48:G57)+167)</f>
        <v>570.3399999999999</v>
      </c>
      <c r="G58" s="124"/>
      <c r="H58" s="128">
        <f>(SUM(I48:I57)+167)</f>
        <v>593.092</v>
      </c>
      <c r="I58" s="124"/>
      <c r="J58" s="38">
        <f>(SUM(K48:K57)+167)</f>
        <v>738.62</v>
      </c>
      <c r="K58" s="41"/>
      <c r="L58" s="380"/>
      <c r="M58" s="90">
        <v>0.5</v>
      </c>
      <c r="N58" s="93">
        <f>(SUM(O48:O57)+167)</f>
        <v>386.44</v>
      </c>
      <c r="O58" s="91"/>
      <c r="P58" s="94">
        <f>(SUM(Q48:Q57)+167)</f>
        <v>462.84</v>
      </c>
      <c r="Q58" s="91"/>
      <c r="R58" s="280">
        <f>(SUM(S48:S57)+167)</f>
        <v>405.84000000000003</v>
      </c>
      <c r="S58" s="279"/>
      <c r="T58" s="280">
        <f>(SUM(U48:U57)+167)</f>
        <v>405.84000000000003</v>
      </c>
      <c r="U58" s="279"/>
      <c r="V58" s="237"/>
      <c r="W58" s="51"/>
      <c r="X58" s="51"/>
      <c r="Y58" s="51"/>
      <c r="Z58" s="51"/>
      <c r="AA58" s="51"/>
      <c r="AB58" s="241"/>
      <c r="AC58" s="51"/>
      <c r="AD58" s="242"/>
      <c r="AE58" s="51"/>
      <c r="AF58" s="51"/>
      <c r="AG58" s="51"/>
      <c r="AH58" s="237"/>
    </row>
    <row r="59" spans="1:34" ht="18.75" customHeight="1" thickBot="1">
      <c r="A59" s="494" t="s">
        <v>56</v>
      </c>
      <c r="B59" s="217"/>
      <c r="C59" s="217"/>
      <c r="D59" s="403" t="s">
        <v>42</v>
      </c>
      <c r="E59" s="122">
        <v>0.05</v>
      </c>
      <c r="F59" s="127">
        <f>+E58*F58</f>
        <v>285.16999999999996</v>
      </c>
      <c r="G59" s="124">
        <f>E59*F59</f>
        <v>14.258499999999998</v>
      </c>
      <c r="H59" s="128">
        <f>+E58*H58</f>
        <v>296.546</v>
      </c>
      <c r="I59" s="124">
        <f>E59*H59</f>
        <v>14.827300000000001</v>
      </c>
      <c r="J59" s="38">
        <f>+E58*J58</f>
        <v>369.31</v>
      </c>
      <c r="K59" s="41">
        <f>E59*J59</f>
        <v>18.465500000000002</v>
      </c>
      <c r="L59" s="380"/>
      <c r="M59" s="90">
        <v>0.05</v>
      </c>
      <c r="N59" s="93">
        <f>+M58*N58</f>
        <v>193.22</v>
      </c>
      <c r="O59" s="91">
        <f>M59*N59</f>
        <v>9.661000000000001</v>
      </c>
      <c r="P59" s="94">
        <f>+M58*P58</f>
        <v>231.42</v>
      </c>
      <c r="Q59" s="91">
        <f>M59*P59</f>
        <v>11.571</v>
      </c>
      <c r="R59" s="280">
        <f>+M58*R58</f>
        <v>202.92000000000002</v>
      </c>
      <c r="S59" s="279">
        <f>M59*R59</f>
        <v>10.146</v>
      </c>
      <c r="T59" s="272">
        <f>+M58*T58</f>
        <v>202.92000000000002</v>
      </c>
      <c r="U59" s="269">
        <f>M59*T59</f>
        <v>10.146</v>
      </c>
      <c r="V59" s="243"/>
      <c r="W59" s="75"/>
      <c r="X59" s="75"/>
      <c r="Y59" s="75"/>
      <c r="Z59" s="51"/>
      <c r="AA59" s="244"/>
      <c r="AB59" s="241"/>
      <c r="AC59" s="245"/>
      <c r="AD59" s="246"/>
      <c r="AE59" s="247"/>
      <c r="AF59" s="75"/>
      <c r="AG59" s="51"/>
      <c r="AH59" s="237"/>
    </row>
    <row r="60" spans="1:34" ht="18.75" customHeight="1" thickBot="1">
      <c r="A60" s="160" t="s">
        <v>59</v>
      </c>
      <c r="B60" s="214"/>
      <c r="C60" s="214"/>
      <c r="D60" s="406"/>
      <c r="E60" s="144"/>
      <c r="F60" s="151"/>
      <c r="G60" s="145">
        <f>SUM(G47:G59)</f>
        <v>417.59849999999994</v>
      </c>
      <c r="H60" s="146"/>
      <c r="I60" s="145">
        <f>SUM(I47:I59)</f>
        <v>440.91929999999996</v>
      </c>
      <c r="J60" s="153"/>
      <c r="K60" s="367">
        <f>SUM(K47:K59)</f>
        <v>590.0855</v>
      </c>
      <c r="L60" s="379"/>
      <c r="M60" s="148"/>
      <c r="N60" s="152"/>
      <c r="O60" s="149">
        <f>SUM(O47:O59)</f>
        <v>229.101</v>
      </c>
      <c r="P60" s="150"/>
      <c r="Q60" s="266">
        <f>SUM(Q47:Q59)</f>
        <v>307.411</v>
      </c>
      <c r="R60" s="449"/>
      <c r="S60" s="268">
        <f>SUM(S47:S59)</f>
        <v>248.986</v>
      </c>
      <c r="T60" s="449"/>
      <c r="U60" s="268">
        <f>SUM(U47:U59)</f>
        <v>248.986</v>
      </c>
      <c r="V60" s="237"/>
      <c r="W60" s="51"/>
      <c r="X60" s="51"/>
      <c r="Y60" s="51"/>
      <c r="Z60" s="51"/>
      <c r="AA60" s="244"/>
      <c r="AB60" s="241"/>
      <c r="AC60" s="51"/>
      <c r="AD60" s="242"/>
      <c r="AE60" s="51"/>
      <c r="AF60" s="51"/>
      <c r="AG60" s="51"/>
      <c r="AH60" s="237"/>
    </row>
    <row r="61" spans="1:34" ht="18.75" customHeight="1">
      <c r="A61" s="220"/>
      <c r="B61" s="217"/>
      <c r="C61" s="217"/>
      <c r="D61" s="397" t="s">
        <v>39</v>
      </c>
      <c r="E61" s="154" t="s">
        <v>40</v>
      </c>
      <c r="F61" s="155" t="s">
        <v>41</v>
      </c>
      <c r="G61" s="156" t="s">
        <v>42</v>
      </c>
      <c r="H61" s="157" t="s">
        <v>43</v>
      </c>
      <c r="I61" s="156" t="s">
        <v>42</v>
      </c>
      <c r="J61" s="158" t="s">
        <v>41</v>
      </c>
      <c r="K61" s="365" t="s">
        <v>42</v>
      </c>
      <c r="L61" s="378"/>
      <c r="M61" s="154" t="s">
        <v>40</v>
      </c>
      <c r="N61" s="155" t="s">
        <v>41</v>
      </c>
      <c r="O61" s="156" t="s">
        <v>42</v>
      </c>
      <c r="P61" s="157" t="s">
        <v>43</v>
      </c>
      <c r="Q61" s="156" t="s">
        <v>42</v>
      </c>
      <c r="R61" s="61" t="s">
        <v>41</v>
      </c>
      <c r="S61" s="62" t="s">
        <v>42</v>
      </c>
      <c r="T61" s="61" t="s">
        <v>41</v>
      </c>
      <c r="U61" s="62" t="s">
        <v>42</v>
      </c>
      <c r="V61" s="248"/>
      <c r="W61" s="75"/>
      <c r="X61" s="75"/>
      <c r="Y61" s="75"/>
      <c r="Z61" s="75"/>
      <c r="AA61" s="249"/>
      <c r="AB61" s="250"/>
      <c r="AC61" s="75"/>
      <c r="AD61" s="251"/>
      <c r="AE61" s="51"/>
      <c r="AF61" s="51"/>
      <c r="AG61" s="51"/>
      <c r="AH61" s="237"/>
    </row>
    <row r="62" spans="1:34" ht="18.75" customHeight="1">
      <c r="A62" s="497" t="s">
        <v>61</v>
      </c>
      <c r="B62" s="468"/>
      <c r="C62" s="468"/>
      <c r="D62" s="455" t="s">
        <v>44</v>
      </c>
      <c r="E62" s="456"/>
      <c r="F62" s="457">
        <v>3000</v>
      </c>
      <c r="G62" s="458"/>
      <c r="H62" s="455">
        <v>4000</v>
      </c>
      <c r="I62" s="458"/>
      <c r="J62" s="455">
        <v>5000</v>
      </c>
      <c r="K62" s="458"/>
      <c r="L62" s="452"/>
      <c r="M62" s="456"/>
      <c r="N62" s="459">
        <v>2500</v>
      </c>
      <c r="O62" s="460"/>
      <c r="P62" s="461">
        <v>2700</v>
      </c>
      <c r="Q62" s="460"/>
      <c r="R62" s="462">
        <f>'B-alue'!D25</f>
        <v>2000</v>
      </c>
      <c r="S62" s="498"/>
      <c r="T62" s="462">
        <f>'B-alue'!D42</f>
        <v>2000</v>
      </c>
      <c r="U62" s="498"/>
      <c r="V62" s="243"/>
      <c r="W62" s="75"/>
      <c r="X62" s="75"/>
      <c r="Y62" s="75"/>
      <c r="Z62" s="75"/>
      <c r="AA62" s="249"/>
      <c r="AB62" s="250"/>
      <c r="AC62" s="75"/>
      <c r="AD62" s="251"/>
      <c r="AE62" s="51"/>
      <c r="AF62" s="51"/>
      <c r="AG62" s="51"/>
      <c r="AH62" s="237"/>
    </row>
    <row r="63" spans="1:34" s="32" customFormat="1" ht="18.75" customHeight="1">
      <c r="A63" s="495" t="s">
        <v>33</v>
      </c>
      <c r="B63" s="217"/>
      <c r="C63" s="217"/>
      <c r="D63" s="402"/>
      <c r="E63" s="122"/>
      <c r="F63" s="123"/>
      <c r="G63" s="124"/>
      <c r="H63" s="125"/>
      <c r="I63" s="124"/>
      <c r="J63" s="37"/>
      <c r="K63" s="41"/>
      <c r="L63" s="380"/>
      <c r="M63" s="90"/>
      <c r="N63" s="82"/>
      <c r="O63" s="91"/>
      <c r="P63" s="92"/>
      <c r="Q63" s="91"/>
      <c r="R63" s="278"/>
      <c r="S63" s="279"/>
      <c r="T63" s="278"/>
      <c r="U63" s="279"/>
      <c r="V63" s="243"/>
      <c r="W63" s="75"/>
      <c r="X63" s="252"/>
      <c r="Y63" s="75"/>
      <c r="Z63" s="245"/>
      <c r="AA63" s="253"/>
      <c r="AB63" s="241"/>
      <c r="AC63" s="245"/>
      <c r="AD63" s="246"/>
      <c r="AE63" s="247"/>
      <c r="AF63" s="48"/>
      <c r="AG63" s="51"/>
      <c r="AH63" s="237"/>
    </row>
    <row r="64" spans="1:34" ht="18.75" customHeight="1">
      <c r="A64" s="494" t="s">
        <v>45</v>
      </c>
      <c r="B64" s="217"/>
      <c r="C64" s="217"/>
      <c r="D64" s="403" t="s">
        <v>44</v>
      </c>
      <c r="E64" s="201">
        <v>0.36</v>
      </c>
      <c r="F64" s="125">
        <v>275</v>
      </c>
      <c r="G64" s="134">
        <f aca="true" t="shared" si="23" ref="G64:G74">E64*F64</f>
        <v>99</v>
      </c>
      <c r="H64" s="228">
        <v>275</v>
      </c>
      <c r="I64" s="124">
        <f aca="true" t="shared" si="24" ref="I64:I74">E64*H64</f>
        <v>99</v>
      </c>
      <c r="J64" s="37">
        <v>275</v>
      </c>
      <c r="K64" s="41">
        <f aca="true" t="shared" si="25" ref="K64:K74">E64*J64</f>
        <v>99</v>
      </c>
      <c r="L64" s="380"/>
      <c r="M64" s="198">
        <v>0.44</v>
      </c>
      <c r="N64" s="92">
        <v>275</v>
      </c>
      <c r="O64" s="81">
        <f>M64*N64</f>
        <v>121</v>
      </c>
      <c r="P64" s="228">
        <v>275</v>
      </c>
      <c r="Q64" s="91">
        <f>M64*P64</f>
        <v>121</v>
      </c>
      <c r="R64" s="373">
        <v>275</v>
      </c>
      <c r="S64" s="279">
        <f aca="true" t="shared" si="26" ref="S64:S74">M64*R64</f>
        <v>121</v>
      </c>
      <c r="T64" s="373">
        <v>275</v>
      </c>
      <c r="U64" s="269">
        <f aca="true" t="shared" si="27" ref="U64:U76">M64*T64</f>
        <v>121</v>
      </c>
      <c r="V64" s="599"/>
      <c r="W64" s="586"/>
      <c r="X64" s="586"/>
      <c r="Y64" s="586"/>
      <c r="Z64" s="585"/>
      <c r="AA64" s="584"/>
      <c r="AB64" s="241"/>
      <c r="AC64" s="245"/>
      <c r="AD64" s="576"/>
      <c r="AE64" s="580"/>
      <c r="AF64" s="48"/>
      <c r="AG64" s="51"/>
      <c r="AH64" s="237"/>
    </row>
    <row r="65" spans="1:34" ht="18.75" customHeight="1">
      <c r="A65" s="494" t="s">
        <v>46</v>
      </c>
      <c r="B65" s="217"/>
      <c r="C65" s="217"/>
      <c r="D65" s="403" t="s">
        <v>44</v>
      </c>
      <c r="E65" s="224">
        <v>0.542</v>
      </c>
      <c r="F65" s="125">
        <v>0</v>
      </c>
      <c r="G65" s="134">
        <f t="shared" si="23"/>
        <v>0</v>
      </c>
      <c r="H65" s="229">
        <v>0</v>
      </c>
      <c r="I65" s="124">
        <f t="shared" si="24"/>
        <v>0</v>
      </c>
      <c r="J65" s="16">
        <v>0</v>
      </c>
      <c r="K65" s="41">
        <f t="shared" si="25"/>
        <v>0</v>
      </c>
      <c r="L65" s="380"/>
      <c r="M65" s="224">
        <v>0.67</v>
      </c>
      <c r="N65" s="92">
        <v>0</v>
      </c>
      <c r="O65" s="81">
        <f>M65*N65</f>
        <v>0</v>
      </c>
      <c r="P65" s="229">
        <v>0</v>
      </c>
      <c r="Q65" s="91">
        <f>M65*P65</f>
        <v>0</v>
      </c>
      <c r="R65" s="374">
        <v>0</v>
      </c>
      <c r="S65" s="279">
        <f t="shared" si="26"/>
        <v>0</v>
      </c>
      <c r="T65" s="374">
        <v>0</v>
      </c>
      <c r="U65" s="269">
        <f t="shared" si="27"/>
        <v>0</v>
      </c>
      <c r="V65" s="599"/>
      <c r="W65" s="586"/>
      <c r="X65" s="586"/>
      <c r="Y65" s="586"/>
      <c r="Z65" s="585"/>
      <c r="AA65" s="584"/>
      <c r="AB65" s="250"/>
      <c r="AC65" s="75"/>
      <c r="AD65" s="576"/>
      <c r="AE65" s="580"/>
      <c r="AF65" s="254"/>
      <c r="AG65" s="51"/>
      <c r="AH65" s="237"/>
    </row>
    <row r="66" spans="1:34" ht="18.75" customHeight="1">
      <c r="A66" s="539" t="s">
        <v>165</v>
      </c>
      <c r="B66" s="217"/>
      <c r="C66" s="217"/>
      <c r="D66" s="403" t="s">
        <v>44</v>
      </c>
      <c r="E66" s="201">
        <f>E2</f>
        <v>0.412</v>
      </c>
      <c r="F66" s="125">
        <v>360</v>
      </c>
      <c r="G66" s="134">
        <f t="shared" si="23"/>
        <v>148.32</v>
      </c>
      <c r="H66" s="229">
        <v>444</v>
      </c>
      <c r="I66" s="124">
        <f t="shared" si="24"/>
        <v>182.928</v>
      </c>
      <c r="J66" s="216">
        <v>540</v>
      </c>
      <c r="K66" s="41">
        <f t="shared" si="25"/>
        <v>222.48</v>
      </c>
      <c r="L66" s="380" t="s">
        <v>79</v>
      </c>
      <c r="M66" s="203">
        <v>0.235</v>
      </c>
      <c r="N66" s="78">
        <v>0</v>
      </c>
      <c r="O66" s="98">
        <f aca="true" t="shared" si="28" ref="O66:O74">M66*N66</f>
        <v>0</v>
      </c>
      <c r="P66" s="225">
        <v>700</v>
      </c>
      <c r="Q66" s="79">
        <f aca="true" t="shared" si="29" ref="Q66:Q74">M66*P66</f>
        <v>164.5</v>
      </c>
      <c r="R66" s="372">
        <v>0</v>
      </c>
      <c r="S66" s="269">
        <f t="shared" si="26"/>
        <v>0</v>
      </c>
      <c r="T66" s="372">
        <v>0</v>
      </c>
      <c r="U66" s="269">
        <f t="shared" si="27"/>
        <v>0</v>
      </c>
      <c r="V66" s="243"/>
      <c r="W66" s="252"/>
      <c r="X66" s="252"/>
      <c r="Y66" s="75"/>
      <c r="Z66" s="252"/>
      <c r="AA66" s="255"/>
      <c r="AB66" s="250"/>
      <c r="AC66" s="75"/>
      <c r="AD66" s="256"/>
      <c r="AE66" s="255"/>
      <c r="AF66" s="247"/>
      <c r="AG66" s="51"/>
      <c r="AH66" s="237"/>
    </row>
    <row r="67" spans="1:34" ht="18.75" customHeight="1">
      <c r="A67" s="495" t="s">
        <v>47</v>
      </c>
      <c r="B67" s="217"/>
      <c r="C67" s="217"/>
      <c r="D67" s="403" t="s">
        <v>58</v>
      </c>
      <c r="E67" s="200">
        <v>44</v>
      </c>
      <c r="F67" s="125">
        <v>0</v>
      </c>
      <c r="G67" s="124">
        <f t="shared" si="23"/>
        <v>0</v>
      </c>
      <c r="H67" s="126">
        <v>0.25</v>
      </c>
      <c r="I67" s="124">
        <f t="shared" si="24"/>
        <v>11</v>
      </c>
      <c r="J67" s="16">
        <v>0.5</v>
      </c>
      <c r="K67" s="41">
        <f t="shared" si="25"/>
        <v>22</v>
      </c>
      <c r="L67" s="380"/>
      <c r="M67" s="199">
        <v>44</v>
      </c>
      <c r="N67" s="92">
        <v>0</v>
      </c>
      <c r="O67" s="79">
        <f t="shared" si="28"/>
        <v>0</v>
      </c>
      <c r="P67" s="83">
        <v>0</v>
      </c>
      <c r="Q67" s="79">
        <f t="shared" si="29"/>
        <v>0</v>
      </c>
      <c r="R67" s="270">
        <v>0.25</v>
      </c>
      <c r="S67" s="269">
        <f t="shared" si="26"/>
        <v>11</v>
      </c>
      <c r="T67" s="270">
        <v>0.25</v>
      </c>
      <c r="U67" s="269">
        <f t="shared" si="27"/>
        <v>11</v>
      </c>
      <c r="V67" s="243"/>
      <c r="W67" s="252"/>
      <c r="X67" s="252"/>
      <c r="Y67" s="75"/>
      <c r="Z67" s="252"/>
      <c r="AA67" s="255"/>
      <c r="AB67" s="250"/>
      <c r="AC67" s="75"/>
      <c r="AD67" s="256"/>
      <c r="AE67" s="255"/>
      <c r="AF67" s="247"/>
      <c r="AG67" s="51"/>
      <c r="AH67" s="237"/>
    </row>
    <row r="68" spans="1:34" ht="18.75" customHeight="1">
      <c r="A68" s="499" t="s">
        <v>199</v>
      </c>
      <c r="B68" s="217"/>
      <c r="C68" s="217"/>
      <c r="D68" s="403" t="s">
        <v>11</v>
      </c>
      <c r="E68" s="200">
        <v>30</v>
      </c>
      <c r="F68" s="125">
        <v>1</v>
      </c>
      <c r="G68" s="124">
        <f t="shared" si="23"/>
        <v>30</v>
      </c>
      <c r="H68" s="126">
        <v>1</v>
      </c>
      <c r="I68" s="124">
        <f t="shared" si="24"/>
        <v>30</v>
      </c>
      <c r="J68" s="16">
        <v>1</v>
      </c>
      <c r="K68" s="41">
        <f t="shared" si="25"/>
        <v>30</v>
      </c>
      <c r="L68" s="380"/>
      <c r="M68" s="199"/>
      <c r="N68" s="92">
        <v>0</v>
      </c>
      <c r="O68" s="79">
        <f t="shared" si="28"/>
        <v>0</v>
      </c>
      <c r="P68" s="83">
        <v>0</v>
      </c>
      <c r="Q68" s="79">
        <f t="shared" si="29"/>
        <v>0</v>
      </c>
      <c r="R68" s="270">
        <v>0</v>
      </c>
      <c r="S68" s="269">
        <f t="shared" si="26"/>
        <v>0</v>
      </c>
      <c r="T68" s="270">
        <v>0</v>
      </c>
      <c r="U68" s="269">
        <f t="shared" si="27"/>
        <v>0</v>
      </c>
      <c r="V68" s="243"/>
      <c r="W68" s="252"/>
      <c r="X68" s="252"/>
      <c r="Y68" s="75"/>
      <c r="Z68" s="252"/>
      <c r="AA68" s="255"/>
      <c r="AB68" s="250"/>
      <c r="AC68" s="75"/>
      <c r="AD68" s="256"/>
      <c r="AE68" s="255"/>
      <c r="AF68" s="247"/>
      <c r="AG68" s="51"/>
      <c r="AH68" s="237"/>
    </row>
    <row r="69" spans="1:34" ht="18.75" customHeight="1">
      <c r="A69" s="499" t="s">
        <v>200</v>
      </c>
      <c r="B69" s="217"/>
      <c r="C69" s="217"/>
      <c r="D69" s="403" t="s">
        <v>11</v>
      </c>
      <c r="E69" s="200">
        <v>27</v>
      </c>
      <c r="F69" s="125">
        <v>1</v>
      </c>
      <c r="G69" s="124">
        <f>E69*F69</f>
        <v>27</v>
      </c>
      <c r="H69" s="126">
        <v>1</v>
      </c>
      <c r="I69" s="124">
        <f>E69*H69</f>
        <v>27</v>
      </c>
      <c r="J69" s="16">
        <v>1</v>
      </c>
      <c r="K69" s="41">
        <f>E69*J69</f>
        <v>27</v>
      </c>
      <c r="L69" s="380" t="s">
        <v>81</v>
      </c>
      <c r="M69" s="200">
        <v>0</v>
      </c>
      <c r="N69" s="92">
        <v>0</v>
      </c>
      <c r="O69" s="79">
        <f t="shared" si="28"/>
        <v>0</v>
      </c>
      <c r="P69" s="83">
        <v>0</v>
      </c>
      <c r="Q69" s="79">
        <f t="shared" si="29"/>
        <v>0</v>
      </c>
      <c r="R69" s="270">
        <v>0</v>
      </c>
      <c r="S69" s="269">
        <f t="shared" si="26"/>
        <v>0</v>
      </c>
      <c r="T69" s="270">
        <v>0</v>
      </c>
      <c r="U69" s="269">
        <f t="shared" si="27"/>
        <v>0</v>
      </c>
      <c r="V69" s="243"/>
      <c r="W69" s="252"/>
      <c r="X69" s="252"/>
      <c r="Y69" s="75"/>
      <c r="Z69" s="252"/>
      <c r="AA69" s="255"/>
      <c r="AB69" s="250"/>
      <c r="AC69" s="75"/>
      <c r="AD69" s="256"/>
      <c r="AE69" s="255"/>
      <c r="AF69" s="247"/>
      <c r="AG69" s="51"/>
      <c r="AH69" s="237"/>
    </row>
    <row r="70" spans="1:34" ht="18.75" customHeight="1">
      <c r="A70" s="499" t="s">
        <v>92</v>
      </c>
      <c r="B70" s="217"/>
      <c r="C70" s="217"/>
      <c r="D70" s="403" t="s">
        <v>11</v>
      </c>
      <c r="E70" s="224">
        <v>0</v>
      </c>
      <c r="F70" s="125">
        <v>1</v>
      </c>
      <c r="G70" s="124">
        <f>E70*F70</f>
        <v>0</v>
      </c>
      <c r="H70" s="126">
        <v>1</v>
      </c>
      <c r="I70" s="124">
        <f>E70*H70</f>
        <v>0</v>
      </c>
      <c r="J70" s="16">
        <v>1</v>
      </c>
      <c r="K70" s="41">
        <f>E70*J70</f>
        <v>0</v>
      </c>
      <c r="L70" s="380" t="s">
        <v>80</v>
      </c>
      <c r="M70" s="202">
        <v>7.5</v>
      </c>
      <c r="N70" s="92">
        <v>1</v>
      </c>
      <c r="O70" s="79">
        <f t="shared" si="28"/>
        <v>7.5</v>
      </c>
      <c r="P70" s="83">
        <v>1</v>
      </c>
      <c r="Q70" s="79">
        <f t="shared" si="29"/>
        <v>7.5</v>
      </c>
      <c r="R70" s="270">
        <v>1</v>
      </c>
      <c r="S70" s="269">
        <f t="shared" si="26"/>
        <v>7.5</v>
      </c>
      <c r="T70" s="270">
        <v>1</v>
      </c>
      <c r="U70" s="269">
        <f t="shared" si="27"/>
        <v>7.5</v>
      </c>
      <c r="V70" s="243"/>
      <c r="W70" s="252"/>
      <c r="X70" s="252"/>
      <c r="Y70" s="75"/>
      <c r="Z70" s="252"/>
      <c r="AA70" s="255"/>
      <c r="AB70" s="250"/>
      <c r="AC70" s="75"/>
      <c r="AD70" s="256"/>
      <c r="AE70" s="255"/>
      <c r="AF70" s="247"/>
      <c r="AG70" s="51"/>
      <c r="AH70" s="237"/>
    </row>
    <row r="71" spans="1:34" ht="18.75" customHeight="1">
      <c r="A71" s="494" t="s">
        <v>49</v>
      </c>
      <c r="B71" s="217"/>
      <c r="C71" s="217"/>
      <c r="D71" s="403" t="s">
        <v>50</v>
      </c>
      <c r="E71" s="224">
        <v>7.6</v>
      </c>
      <c r="F71" s="125">
        <v>8</v>
      </c>
      <c r="G71" s="124">
        <f t="shared" si="23"/>
        <v>60.8</v>
      </c>
      <c r="H71" s="126">
        <v>8</v>
      </c>
      <c r="I71" s="124">
        <f t="shared" si="24"/>
        <v>60.8</v>
      </c>
      <c r="J71" s="16">
        <v>8</v>
      </c>
      <c r="K71" s="41">
        <f t="shared" si="25"/>
        <v>60.8</v>
      </c>
      <c r="L71" s="380"/>
      <c r="M71" s="224">
        <v>7.6</v>
      </c>
      <c r="N71" s="92">
        <v>8</v>
      </c>
      <c r="O71" s="79">
        <f t="shared" si="28"/>
        <v>60.8</v>
      </c>
      <c r="P71" s="83">
        <v>10</v>
      </c>
      <c r="Q71" s="79">
        <f t="shared" si="29"/>
        <v>76</v>
      </c>
      <c r="R71" s="270">
        <v>10</v>
      </c>
      <c r="S71" s="269">
        <f t="shared" si="26"/>
        <v>76</v>
      </c>
      <c r="T71" s="270">
        <v>10</v>
      </c>
      <c r="U71" s="269">
        <f t="shared" si="27"/>
        <v>76</v>
      </c>
      <c r="V71" s="243"/>
      <c r="W71" s="252"/>
      <c r="X71" s="252"/>
      <c r="Y71" s="75"/>
      <c r="Z71" s="252"/>
      <c r="AA71" s="255"/>
      <c r="AB71" s="250"/>
      <c r="AC71" s="75"/>
      <c r="AD71" s="256"/>
      <c r="AE71" s="255"/>
      <c r="AF71" s="247"/>
      <c r="AG71" s="51"/>
      <c r="AH71" s="237"/>
    </row>
    <row r="72" spans="1:34" ht="18.75" customHeight="1">
      <c r="A72" s="494" t="s">
        <v>51</v>
      </c>
      <c r="B72" s="217"/>
      <c r="C72" s="217"/>
      <c r="D72" s="403" t="s">
        <v>50</v>
      </c>
      <c r="E72" s="224">
        <v>7.6</v>
      </c>
      <c r="F72" s="125">
        <v>1.4</v>
      </c>
      <c r="G72" s="124">
        <f t="shared" si="23"/>
        <v>10.639999999999999</v>
      </c>
      <c r="H72" s="126">
        <v>1.4</v>
      </c>
      <c r="I72" s="124">
        <f t="shared" si="24"/>
        <v>10.639999999999999</v>
      </c>
      <c r="J72" s="16">
        <v>1.4</v>
      </c>
      <c r="K72" s="41">
        <f t="shared" si="25"/>
        <v>10.639999999999999</v>
      </c>
      <c r="L72" s="384"/>
      <c r="M72" s="224">
        <v>7.6</v>
      </c>
      <c r="N72" s="92">
        <v>1.4</v>
      </c>
      <c r="O72" s="79">
        <f t="shared" si="28"/>
        <v>10.639999999999999</v>
      </c>
      <c r="P72" s="83">
        <v>1.4</v>
      </c>
      <c r="Q72" s="79">
        <f t="shared" si="29"/>
        <v>10.639999999999999</v>
      </c>
      <c r="R72" s="270">
        <v>1.4</v>
      </c>
      <c r="S72" s="269">
        <f t="shared" si="26"/>
        <v>10.639999999999999</v>
      </c>
      <c r="T72" s="270">
        <v>1.4</v>
      </c>
      <c r="U72" s="269">
        <f t="shared" si="27"/>
        <v>10.639999999999999</v>
      </c>
      <c r="V72" s="243"/>
      <c r="W72" s="252"/>
      <c r="X72" s="252"/>
      <c r="Y72" s="75"/>
      <c r="Z72" s="252"/>
      <c r="AA72" s="255"/>
      <c r="AB72" s="250"/>
      <c r="AC72" s="75"/>
      <c r="AD72" s="256"/>
      <c r="AE72" s="255"/>
      <c r="AF72" s="247"/>
      <c r="AG72" s="51"/>
      <c r="AH72" s="237"/>
    </row>
    <row r="73" spans="1:34" ht="18.75" customHeight="1">
      <c r="A73" s="494" t="s">
        <v>52</v>
      </c>
      <c r="B73" s="217"/>
      <c r="C73" s="217"/>
      <c r="D73" s="403" t="s">
        <v>44</v>
      </c>
      <c r="E73" s="201">
        <v>0.019</v>
      </c>
      <c r="F73" s="125">
        <f>F62</f>
        <v>3000</v>
      </c>
      <c r="G73" s="124">
        <f t="shared" si="23"/>
        <v>57</v>
      </c>
      <c r="H73" s="125">
        <f>H62</f>
        <v>4000</v>
      </c>
      <c r="I73" s="124">
        <f t="shared" si="24"/>
        <v>76</v>
      </c>
      <c r="J73" s="37">
        <f>J62</f>
        <v>5000</v>
      </c>
      <c r="K73" s="41">
        <f t="shared" si="25"/>
        <v>95</v>
      </c>
      <c r="L73" s="380"/>
      <c r="M73" s="203">
        <v>0.019</v>
      </c>
      <c r="N73" s="92">
        <f>N62</f>
        <v>2500</v>
      </c>
      <c r="O73" s="79">
        <f t="shared" si="28"/>
        <v>47.5</v>
      </c>
      <c r="P73" s="92">
        <f>P62</f>
        <v>2700</v>
      </c>
      <c r="Q73" s="79">
        <f t="shared" si="29"/>
        <v>51.3</v>
      </c>
      <c r="R73" s="278">
        <f>R62</f>
        <v>2000</v>
      </c>
      <c r="S73" s="269">
        <f t="shared" si="26"/>
        <v>38</v>
      </c>
      <c r="T73" s="278">
        <f>T62</f>
        <v>2000</v>
      </c>
      <c r="U73" s="269">
        <f t="shared" si="27"/>
        <v>38</v>
      </c>
      <c r="V73" s="243"/>
      <c r="W73" s="252"/>
      <c r="X73" s="252"/>
      <c r="Y73" s="75"/>
      <c r="Z73" s="252"/>
      <c r="AA73" s="255"/>
      <c r="AB73" s="250"/>
      <c r="AC73" s="75"/>
      <c r="AD73" s="256"/>
      <c r="AE73" s="255"/>
      <c r="AF73" s="247"/>
      <c r="AG73" s="51"/>
      <c r="AH73" s="237"/>
    </row>
    <row r="74" spans="1:34" ht="18.75" customHeight="1">
      <c r="A74" s="494" t="s">
        <v>53</v>
      </c>
      <c r="B74" s="217"/>
      <c r="C74" s="217"/>
      <c r="D74" s="403" t="s">
        <v>44</v>
      </c>
      <c r="E74" s="201">
        <v>0.015</v>
      </c>
      <c r="F74" s="125">
        <f>+F62-F64</f>
        <v>2725</v>
      </c>
      <c r="G74" s="124">
        <f t="shared" si="23"/>
        <v>40.875</v>
      </c>
      <c r="H74" s="125">
        <f>+H62-H64</f>
        <v>3725</v>
      </c>
      <c r="I74" s="124">
        <f t="shared" si="24"/>
        <v>55.875</v>
      </c>
      <c r="J74" s="37">
        <f>+J62-J64</f>
        <v>4725</v>
      </c>
      <c r="K74" s="41">
        <f t="shared" si="25"/>
        <v>70.875</v>
      </c>
      <c r="L74" s="380"/>
      <c r="M74" s="201">
        <v>0.015</v>
      </c>
      <c r="N74" s="92">
        <f>+N62-N64</f>
        <v>2225</v>
      </c>
      <c r="O74" s="79">
        <f t="shared" si="28"/>
        <v>33.375</v>
      </c>
      <c r="P74" s="92">
        <f>+P62-P64</f>
        <v>2425</v>
      </c>
      <c r="Q74" s="79">
        <f t="shared" si="29"/>
        <v>36.375</v>
      </c>
      <c r="R74" s="278">
        <f>+R62-R64</f>
        <v>1725</v>
      </c>
      <c r="S74" s="269">
        <f t="shared" si="26"/>
        <v>25.875</v>
      </c>
      <c r="T74" s="278">
        <f>+T62-T64</f>
        <v>1725</v>
      </c>
      <c r="U74" s="269">
        <f t="shared" si="27"/>
        <v>25.875</v>
      </c>
      <c r="V74" s="243"/>
      <c r="W74" s="252"/>
      <c r="X74" s="252"/>
      <c r="Y74" s="75"/>
      <c r="Z74" s="252"/>
      <c r="AA74" s="255"/>
      <c r="AB74" s="250"/>
      <c r="AC74" s="75"/>
      <c r="AD74" s="256"/>
      <c r="AE74" s="255"/>
      <c r="AF74" s="247"/>
      <c r="AG74" s="51"/>
      <c r="AH74" s="237"/>
    </row>
    <row r="75" spans="1:34" ht="18.75" customHeight="1">
      <c r="A75" s="494" t="s">
        <v>54</v>
      </c>
      <c r="B75" s="217"/>
      <c r="C75" s="217"/>
      <c r="D75" s="403" t="s">
        <v>42</v>
      </c>
      <c r="E75" s="122">
        <v>0.5</v>
      </c>
      <c r="F75" s="127">
        <f>(SUM(G64:G74)+167)</f>
        <v>640.635</v>
      </c>
      <c r="G75" s="124"/>
      <c r="H75" s="128">
        <f>(SUM(I64:I74)+167)</f>
        <v>720.2429999999999</v>
      </c>
      <c r="I75" s="124"/>
      <c r="J75" s="38">
        <f>(SUM(K64:K74)+167)</f>
        <v>804.7950000000001</v>
      </c>
      <c r="K75" s="41"/>
      <c r="L75" s="380"/>
      <c r="M75" s="90">
        <v>0.5</v>
      </c>
      <c r="N75" s="93">
        <f>(SUM(O64:O74)+167)</f>
        <v>447.815</v>
      </c>
      <c r="O75" s="91"/>
      <c r="P75" s="94">
        <f>(SUM(Q64:Q74)+167)</f>
        <v>634.315</v>
      </c>
      <c r="Q75" s="91"/>
      <c r="R75" s="280">
        <f>(SUM(S64:S74)+167)</f>
        <v>457.015</v>
      </c>
      <c r="S75" s="279"/>
      <c r="T75" s="280">
        <f>(SUM(U64:U74)+167)</f>
        <v>457.015</v>
      </c>
      <c r="U75" s="269"/>
      <c r="V75" s="243"/>
      <c r="W75" s="252"/>
      <c r="X75" s="252"/>
      <c r="Y75" s="75"/>
      <c r="Z75" s="252"/>
      <c r="AA75" s="255"/>
      <c r="AB75" s="250"/>
      <c r="AC75" s="75"/>
      <c r="AD75" s="256"/>
      <c r="AE75" s="255"/>
      <c r="AF75" s="247"/>
      <c r="AG75" s="257"/>
      <c r="AH75" s="258"/>
    </row>
    <row r="76" spans="1:34" ht="18.75" customHeight="1" thickBot="1">
      <c r="A76" s="494" t="s">
        <v>56</v>
      </c>
      <c r="B76" s="217"/>
      <c r="C76" s="217"/>
      <c r="D76" s="403" t="s">
        <v>42</v>
      </c>
      <c r="E76" s="122">
        <v>0.05</v>
      </c>
      <c r="F76" s="127">
        <f>+E75*F75</f>
        <v>320.3175</v>
      </c>
      <c r="G76" s="124">
        <f>E76*F76</f>
        <v>16.015875</v>
      </c>
      <c r="H76" s="128">
        <f>+E75*H75</f>
        <v>360.12149999999997</v>
      </c>
      <c r="I76" s="124">
        <f>E76*H76</f>
        <v>18.006075</v>
      </c>
      <c r="J76" s="38">
        <f>+E75*J75</f>
        <v>402.39750000000004</v>
      </c>
      <c r="K76" s="41">
        <f>E76*J76</f>
        <v>20.119875000000004</v>
      </c>
      <c r="L76" s="380"/>
      <c r="M76" s="90">
        <v>0.05</v>
      </c>
      <c r="N76" s="93">
        <f>+M75*N75</f>
        <v>223.9075</v>
      </c>
      <c r="O76" s="91">
        <f>M76*N76</f>
        <v>11.195375</v>
      </c>
      <c r="P76" s="94">
        <f>+M75*P75</f>
        <v>317.1575</v>
      </c>
      <c r="Q76" s="91">
        <f>M76*P76</f>
        <v>15.857875000000002</v>
      </c>
      <c r="R76" s="280">
        <f>+M75*R75</f>
        <v>228.5075</v>
      </c>
      <c r="S76" s="279">
        <f>M76*R76</f>
        <v>11.425375</v>
      </c>
      <c r="T76" s="272">
        <f>+M75*T75</f>
        <v>228.5075</v>
      </c>
      <c r="U76" s="269">
        <f t="shared" si="27"/>
        <v>11.425375</v>
      </c>
      <c r="V76" s="237"/>
      <c r="W76" s="51"/>
      <c r="X76" s="51"/>
      <c r="Y76" s="51"/>
      <c r="Z76" s="51"/>
      <c r="AA76" s="51"/>
      <c r="AB76" s="241"/>
      <c r="AC76" s="51"/>
      <c r="AD76" s="242"/>
      <c r="AE76" s="51"/>
      <c r="AF76" s="51"/>
      <c r="AG76" s="51"/>
      <c r="AH76" s="237"/>
    </row>
    <row r="77" spans="1:21" ht="18.75" customHeight="1" thickBot="1">
      <c r="A77" s="160" t="s">
        <v>59</v>
      </c>
      <c r="B77" s="214"/>
      <c r="C77" s="214"/>
      <c r="D77" s="406"/>
      <c r="E77" s="144"/>
      <c r="F77" s="151"/>
      <c r="G77" s="145">
        <f>SUM(G64:G76)</f>
        <v>489.650875</v>
      </c>
      <c r="H77" s="146"/>
      <c r="I77" s="145">
        <f>SUM(I64:I76)</f>
        <v>571.249075</v>
      </c>
      <c r="J77" s="153"/>
      <c r="K77" s="367">
        <f>SUM(K64:K76)</f>
        <v>657.914875</v>
      </c>
      <c r="L77" s="379"/>
      <c r="M77" s="148"/>
      <c r="N77" s="152"/>
      <c r="O77" s="149">
        <f>SUM(O64:O76)</f>
        <v>292.010375</v>
      </c>
      <c r="P77" s="150"/>
      <c r="Q77" s="266">
        <f>SUM(Q64:Q76)</f>
        <v>483.172875</v>
      </c>
      <c r="R77" s="449"/>
      <c r="S77" s="268">
        <f>SUM(S64:S76)</f>
        <v>301.44037499999996</v>
      </c>
      <c r="T77" s="449"/>
      <c r="U77" s="268">
        <f>SUM(U64:U76)</f>
        <v>301.44037499999996</v>
      </c>
    </row>
    <row r="78" spans="1:21" ht="18.75" customHeight="1">
      <c r="A78" s="220"/>
      <c r="B78" s="217"/>
      <c r="C78" s="217"/>
      <c r="D78" s="397" t="s">
        <v>39</v>
      </c>
      <c r="E78" s="154" t="s">
        <v>40</v>
      </c>
      <c r="F78" s="155" t="s">
        <v>41</v>
      </c>
      <c r="G78" s="156" t="s">
        <v>42</v>
      </c>
      <c r="H78" s="157" t="s">
        <v>43</v>
      </c>
      <c r="I78" s="156" t="s">
        <v>42</v>
      </c>
      <c r="J78" s="158" t="s">
        <v>41</v>
      </c>
      <c r="K78" s="365" t="s">
        <v>42</v>
      </c>
      <c r="L78" s="378"/>
      <c r="M78" s="154" t="s">
        <v>40</v>
      </c>
      <c r="N78" s="155" t="s">
        <v>41</v>
      </c>
      <c r="O78" s="156" t="s">
        <v>42</v>
      </c>
      <c r="P78" s="157" t="s">
        <v>43</v>
      </c>
      <c r="Q78" s="156" t="s">
        <v>42</v>
      </c>
      <c r="R78" s="61" t="s">
        <v>41</v>
      </c>
      <c r="S78" s="62" t="s">
        <v>42</v>
      </c>
      <c r="T78" s="61" t="s">
        <v>41</v>
      </c>
      <c r="U78" s="62" t="s">
        <v>42</v>
      </c>
    </row>
    <row r="79" spans="1:21" ht="18.75" customHeight="1">
      <c r="A79" s="497" t="s">
        <v>62</v>
      </c>
      <c r="B79" s="454"/>
      <c r="C79" s="454"/>
      <c r="D79" s="455" t="s">
        <v>44</v>
      </c>
      <c r="E79" s="456"/>
      <c r="F79" s="457">
        <v>2500</v>
      </c>
      <c r="G79" s="458"/>
      <c r="H79" s="455">
        <v>3200</v>
      </c>
      <c r="I79" s="458"/>
      <c r="J79" s="455">
        <v>4000</v>
      </c>
      <c r="K79" s="458"/>
      <c r="L79" s="452"/>
      <c r="M79" s="456"/>
      <c r="N79" s="459">
        <v>1600</v>
      </c>
      <c r="O79" s="460"/>
      <c r="P79" s="461">
        <f>'B-alue'!D65</f>
        <v>1800</v>
      </c>
      <c r="Q79" s="460"/>
      <c r="R79" s="462">
        <f>'B-alue'!D26</f>
        <v>2500</v>
      </c>
      <c r="S79" s="498"/>
      <c r="T79" s="462">
        <f>'B-alue'!D43</f>
        <v>2500</v>
      </c>
      <c r="U79" s="498"/>
    </row>
    <row r="80" spans="1:21" ht="18.75" customHeight="1">
      <c r="A80" s="495" t="s">
        <v>33</v>
      </c>
      <c r="B80" s="217"/>
      <c r="C80" s="217"/>
      <c r="D80" s="402"/>
      <c r="E80" s="122"/>
      <c r="F80" s="123"/>
      <c r="G80" s="124"/>
      <c r="H80" s="125"/>
      <c r="I80" s="124"/>
      <c r="J80" s="37"/>
      <c r="K80" s="41"/>
      <c r="L80" s="380"/>
      <c r="M80" s="90"/>
      <c r="N80" s="82"/>
      <c r="O80" s="91"/>
      <c r="P80" s="92"/>
      <c r="Q80" s="91"/>
      <c r="R80" s="278"/>
      <c r="S80" s="279"/>
      <c r="T80" s="278"/>
      <c r="U80" s="279"/>
    </row>
    <row r="81" spans="1:34" s="32" customFormat="1" ht="18.75" customHeight="1">
      <c r="A81" s="495" t="s">
        <v>45</v>
      </c>
      <c r="B81" s="217"/>
      <c r="C81" s="217"/>
      <c r="D81" s="403" t="s">
        <v>44</v>
      </c>
      <c r="E81" s="201">
        <v>0.36</v>
      </c>
      <c r="F81" s="125">
        <v>160</v>
      </c>
      <c r="G81" s="134">
        <f>E81*F81</f>
        <v>57.599999999999994</v>
      </c>
      <c r="H81" s="228">
        <v>160</v>
      </c>
      <c r="I81" s="124">
        <f>E81*H81</f>
        <v>57.599999999999994</v>
      </c>
      <c r="J81" s="37">
        <v>160</v>
      </c>
      <c r="K81" s="41">
        <f>E81*J81</f>
        <v>57.599999999999994</v>
      </c>
      <c r="L81" s="380"/>
      <c r="M81" s="198">
        <v>0.52</v>
      </c>
      <c r="N81" s="92">
        <v>160</v>
      </c>
      <c r="O81" s="98">
        <f aca="true" t="shared" si="30" ref="O81:O91">M81*N81</f>
        <v>83.2</v>
      </c>
      <c r="P81" s="228">
        <v>160</v>
      </c>
      <c r="Q81" s="79">
        <f aca="true" t="shared" si="31" ref="Q81:Q91">M81*P81</f>
        <v>83.2</v>
      </c>
      <c r="R81" s="373">
        <v>160</v>
      </c>
      <c r="S81" s="269">
        <f aca="true" t="shared" si="32" ref="S81:S91">M81*R81</f>
        <v>83.2</v>
      </c>
      <c r="T81" s="373">
        <v>160</v>
      </c>
      <c r="U81" s="269">
        <f aca="true" t="shared" si="33" ref="U81:U93">M81*T81</f>
        <v>83.2</v>
      </c>
      <c r="V81"/>
      <c r="W81" s="7"/>
      <c r="X81" s="7"/>
      <c r="Y81" s="7"/>
      <c r="Z81" s="7"/>
      <c r="AA81" s="7"/>
      <c r="AB81" s="56"/>
      <c r="AC81" s="7"/>
      <c r="AD81" s="52"/>
      <c r="AE81" s="7"/>
      <c r="AF81" s="7"/>
      <c r="AG81" s="7"/>
      <c r="AH81"/>
    </row>
    <row r="82" spans="1:21" ht="18.75" customHeight="1">
      <c r="A82" s="495" t="s">
        <v>46</v>
      </c>
      <c r="B82" s="217"/>
      <c r="C82" s="217"/>
      <c r="D82" s="403" t="s">
        <v>44</v>
      </c>
      <c r="E82" s="224">
        <v>0.59</v>
      </c>
      <c r="F82" s="125">
        <v>0</v>
      </c>
      <c r="G82" s="134">
        <f>E82*F82</f>
        <v>0</v>
      </c>
      <c r="H82" s="229">
        <v>0</v>
      </c>
      <c r="I82" s="124">
        <f>E82*H82</f>
        <v>0</v>
      </c>
      <c r="J82" s="16">
        <v>0</v>
      </c>
      <c r="K82" s="41">
        <f>E82*J82</f>
        <v>0</v>
      </c>
      <c r="L82" s="380"/>
      <c r="M82" s="224">
        <v>0.73</v>
      </c>
      <c r="N82" s="92">
        <v>0</v>
      </c>
      <c r="O82" s="98">
        <f t="shared" si="30"/>
        <v>0</v>
      </c>
      <c r="P82" s="229">
        <v>0</v>
      </c>
      <c r="Q82" s="79">
        <f t="shared" si="31"/>
        <v>0</v>
      </c>
      <c r="R82" s="374">
        <v>0</v>
      </c>
      <c r="S82" s="269">
        <f t="shared" si="32"/>
        <v>0</v>
      </c>
      <c r="T82" s="374">
        <v>0</v>
      </c>
      <c r="U82" s="269">
        <f t="shared" si="33"/>
        <v>0</v>
      </c>
    </row>
    <row r="83" spans="1:21" ht="18.75" customHeight="1">
      <c r="A83" s="539" t="s">
        <v>175</v>
      </c>
      <c r="B83" s="217"/>
      <c r="C83" s="217"/>
      <c r="D83" s="403" t="s">
        <v>44</v>
      </c>
      <c r="E83" s="201">
        <f>E6</f>
        <v>0.462</v>
      </c>
      <c r="F83" s="125">
        <v>120</v>
      </c>
      <c r="G83" s="134">
        <f>E83*F83</f>
        <v>55.440000000000005</v>
      </c>
      <c r="H83" s="229">
        <v>130</v>
      </c>
      <c r="I83" s="124">
        <f>E83*H83</f>
        <v>60.06</v>
      </c>
      <c r="J83" s="16">
        <v>140</v>
      </c>
      <c r="K83" s="41">
        <f>E83*J83</f>
        <v>64.68</v>
      </c>
      <c r="L83" s="380" t="s">
        <v>79</v>
      </c>
      <c r="M83" s="203">
        <f>E10</f>
        <v>0.265</v>
      </c>
      <c r="N83" s="78">
        <v>0</v>
      </c>
      <c r="O83" s="98">
        <f t="shared" si="30"/>
        <v>0</v>
      </c>
      <c r="P83" s="225">
        <v>0</v>
      </c>
      <c r="Q83" s="79">
        <f t="shared" si="31"/>
        <v>0</v>
      </c>
      <c r="R83" s="372">
        <v>0</v>
      </c>
      <c r="S83" s="269">
        <f t="shared" si="32"/>
        <v>0</v>
      </c>
      <c r="T83" s="372">
        <v>0</v>
      </c>
      <c r="U83" s="269">
        <f t="shared" si="33"/>
        <v>0</v>
      </c>
    </row>
    <row r="84" spans="1:21" ht="18.75" customHeight="1">
      <c r="A84" s="495" t="s">
        <v>63</v>
      </c>
      <c r="B84" s="217"/>
      <c r="C84" s="217"/>
      <c r="D84" s="403" t="s">
        <v>44</v>
      </c>
      <c r="E84" s="201">
        <f>E5</f>
        <v>0.315</v>
      </c>
      <c r="F84" s="125">
        <v>370</v>
      </c>
      <c r="G84" s="124">
        <f>F84*E84</f>
        <v>116.55</v>
      </c>
      <c r="H84" s="229">
        <v>370</v>
      </c>
      <c r="I84" s="124">
        <f>H84*E84</f>
        <v>116.55</v>
      </c>
      <c r="J84" s="16">
        <v>400</v>
      </c>
      <c r="K84" s="41">
        <f>J84*E84</f>
        <v>126</v>
      </c>
      <c r="L84" s="380"/>
      <c r="M84" s="201"/>
      <c r="N84" s="92"/>
      <c r="O84" s="79">
        <f t="shared" si="30"/>
        <v>0</v>
      </c>
      <c r="P84" s="83"/>
      <c r="Q84" s="79">
        <f t="shared" si="31"/>
        <v>0</v>
      </c>
      <c r="R84" s="270"/>
      <c r="S84" s="269">
        <f t="shared" si="32"/>
        <v>0</v>
      </c>
      <c r="T84" s="270"/>
      <c r="U84" s="269">
        <f t="shared" si="33"/>
        <v>0</v>
      </c>
    </row>
    <row r="85" spans="1:21" ht="18.75" customHeight="1">
      <c r="A85" s="495" t="s">
        <v>47</v>
      </c>
      <c r="B85" s="217"/>
      <c r="C85" s="217"/>
      <c r="D85" s="403" t="s">
        <v>58</v>
      </c>
      <c r="E85" s="199">
        <v>44</v>
      </c>
      <c r="F85" s="125">
        <v>0</v>
      </c>
      <c r="G85" s="124">
        <f aca="true" t="shared" si="34" ref="G85:G91">E85*F85</f>
        <v>0</v>
      </c>
      <c r="H85" s="126">
        <v>0.25</v>
      </c>
      <c r="I85" s="124">
        <f aca="true" t="shared" si="35" ref="I85:I91">E85*H85</f>
        <v>11</v>
      </c>
      <c r="J85" s="16">
        <v>0.5</v>
      </c>
      <c r="K85" s="41">
        <f aca="true" t="shared" si="36" ref="K85:K91">E85*J85</f>
        <v>22</v>
      </c>
      <c r="L85" s="380"/>
      <c r="M85" s="199">
        <v>44</v>
      </c>
      <c r="N85" s="92">
        <v>0</v>
      </c>
      <c r="O85" s="79">
        <f t="shared" si="30"/>
        <v>0</v>
      </c>
      <c r="P85" s="83">
        <v>0</v>
      </c>
      <c r="Q85" s="79">
        <f t="shared" si="31"/>
        <v>0</v>
      </c>
      <c r="R85" s="270">
        <v>0.25</v>
      </c>
      <c r="S85" s="269">
        <f t="shared" si="32"/>
        <v>11</v>
      </c>
      <c r="T85" s="270">
        <v>0.25</v>
      </c>
      <c r="U85" s="269">
        <f t="shared" si="33"/>
        <v>11</v>
      </c>
    </row>
    <row r="86" spans="1:21" ht="18.75" customHeight="1">
      <c r="A86" s="499" t="s">
        <v>92</v>
      </c>
      <c r="B86" s="217"/>
      <c r="C86" s="217"/>
      <c r="D86" s="403" t="s">
        <v>11</v>
      </c>
      <c r="E86" s="199">
        <v>49</v>
      </c>
      <c r="F86" s="125">
        <v>1</v>
      </c>
      <c r="G86" s="124">
        <f t="shared" si="34"/>
        <v>49</v>
      </c>
      <c r="H86" s="126">
        <v>1</v>
      </c>
      <c r="I86" s="124">
        <f t="shared" si="35"/>
        <v>49</v>
      </c>
      <c r="J86" s="16">
        <v>1</v>
      </c>
      <c r="K86" s="41">
        <f t="shared" si="36"/>
        <v>49</v>
      </c>
      <c r="L86" s="380" t="s">
        <v>81</v>
      </c>
      <c r="M86" s="199">
        <v>0</v>
      </c>
      <c r="N86" s="92">
        <v>0</v>
      </c>
      <c r="O86" s="79">
        <f t="shared" si="30"/>
        <v>0</v>
      </c>
      <c r="P86" s="83">
        <v>0</v>
      </c>
      <c r="Q86" s="79">
        <f t="shared" si="31"/>
        <v>0</v>
      </c>
      <c r="R86" s="270">
        <v>0</v>
      </c>
      <c r="S86" s="269">
        <f t="shared" si="32"/>
        <v>0</v>
      </c>
      <c r="T86" s="270">
        <v>0</v>
      </c>
      <c r="U86" s="269">
        <f t="shared" si="33"/>
        <v>0</v>
      </c>
    </row>
    <row r="87" spans="1:21" ht="18.75" customHeight="1">
      <c r="A87" s="499" t="s">
        <v>92</v>
      </c>
      <c r="B87" s="217"/>
      <c r="C87" s="217"/>
      <c r="D87" s="403" t="s">
        <v>11</v>
      </c>
      <c r="E87" s="199">
        <v>0</v>
      </c>
      <c r="F87" s="125">
        <v>1</v>
      </c>
      <c r="G87" s="124">
        <f t="shared" si="34"/>
        <v>0</v>
      </c>
      <c r="H87" s="126">
        <v>1</v>
      </c>
      <c r="I87" s="124">
        <f t="shared" si="35"/>
        <v>0</v>
      </c>
      <c r="J87" s="16">
        <v>1</v>
      </c>
      <c r="K87" s="41">
        <f t="shared" si="36"/>
        <v>0</v>
      </c>
      <c r="L87" s="380" t="s">
        <v>80</v>
      </c>
      <c r="M87" s="202">
        <v>7.5</v>
      </c>
      <c r="N87" s="92">
        <v>1</v>
      </c>
      <c r="O87" s="79">
        <f t="shared" si="30"/>
        <v>7.5</v>
      </c>
      <c r="P87" s="83">
        <v>1</v>
      </c>
      <c r="Q87" s="79">
        <f t="shared" si="31"/>
        <v>7.5</v>
      </c>
      <c r="R87" s="270">
        <v>1</v>
      </c>
      <c r="S87" s="269">
        <f t="shared" si="32"/>
        <v>7.5</v>
      </c>
      <c r="T87" s="270">
        <v>1</v>
      </c>
      <c r="U87" s="269">
        <f t="shared" si="33"/>
        <v>7.5</v>
      </c>
    </row>
    <row r="88" spans="1:21" ht="18.75" customHeight="1">
      <c r="A88" s="495" t="s">
        <v>64</v>
      </c>
      <c r="B88" s="217"/>
      <c r="C88" s="217"/>
      <c r="D88" s="403" t="s">
        <v>50</v>
      </c>
      <c r="E88" s="224">
        <v>7.6</v>
      </c>
      <c r="F88" s="125">
        <v>8.5</v>
      </c>
      <c r="G88" s="124">
        <f t="shared" si="34"/>
        <v>64.6</v>
      </c>
      <c r="H88" s="126">
        <v>8.5</v>
      </c>
      <c r="I88" s="124">
        <f t="shared" si="35"/>
        <v>64.6</v>
      </c>
      <c r="J88" s="16">
        <v>8.5</v>
      </c>
      <c r="K88" s="41">
        <f t="shared" si="36"/>
        <v>64.6</v>
      </c>
      <c r="L88" s="380"/>
      <c r="M88" s="224">
        <v>7.6</v>
      </c>
      <c r="N88" s="92">
        <v>8.5</v>
      </c>
      <c r="O88" s="79">
        <f t="shared" si="30"/>
        <v>64.6</v>
      </c>
      <c r="P88" s="83">
        <v>10</v>
      </c>
      <c r="Q88" s="79">
        <f t="shared" si="31"/>
        <v>76</v>
      </c>
      <c r="R88" s="270">
        <v>10</v>
      </c>
      <c r="S88" s="269">
        <f t="shared" si="32"/>
        <v>76</v>
      </c>
      <c r="T88" s="270">
        <v>10</v>
      </c>
      <c r="U88" s="269">
        <f t="shared" si="33"/>
        <v>76</v>
      </c>
    </row>
    <row r="89" spans="1:21" ht="18.75" customHeight="1">
      <c r="A89" s="495" t="s">
        <v>65</v>
      </c>
      <c r="B89" s="217"/>
      <c r="C89" s="217"/>
      <c r="D89" s="403" t="s">
        <v>50</v>
      </c>
      <c r="E89" s="224">
        <v>7.6</v>
      </c>
      <c r="F89" s="125">
        <v>2</v>
      </c>
      <c r="G89" s="124">
        <f t="shared" si="34"/>
        <v>15.2</v>
      </c>
      <c r="H89" s="126">
        <v>2</v>
      </c>
      <c r="I89" s="124">
        <f t="shared" si="35"/>
        <v>15.2</v>
      </c>
      <c r="J89" s="16">
        <v>2</v>
      </c>
      <c r="K89" s="41">
        <f t="shared" si="36"/>
        <v>15.2</v>
      </c>
      <c r="L89" s="380"/>
      <c r="M89" s="224">
        <v>7.6</v>
      </c>
      <c r="N89" s="92">
        <v>2</v>
      </c>
      <c r="O89" s="79">
        <f t="shared" si="30"/>
        <v>15.2</v>
      </c>
      <c r="P89" s="83">
        <v>2</v>
      </c>
      <c r="Q89" s="79">
        <f t="shared" si="31"/>
        <v>15.2</v>
      </c>
      <c r="R89" s="270">
        <v>2</v>
      </c>
      <c r="S89" s="269">
        <f t="shared" si="32"/>
        <v>15.2</v>
      </c>
      <c r="T89" s="270">
        <v>2</v>
      </c>
      <c r="U89" s="269">
        <f t="shared" si="33"/>
        <v>15.2</v>
      </c>
    </row>
    <row r="90" spans="1:21" ht="18.75" customHeight="1">
      <c r="A90" s="495" t="s">
        <v>66</v>
      </c>
      <c r="B90" s="217"/>
      <c r="C90" s="217"/>
      <c r="D90" s="403" t="s">
        <v>44</v>
      </c>
      <c r="E90" s="201">
        <v>0.019</v>
      </c>
      <c r="F90" s="125">
        <f>F79</f>
        <v>2500</v>
      </c>
      <c r="G90" s="124">
        <f t="shared" si="34"/>
        <v>47.5</v>
      </c>
      <c r="H90" s="125">
        <f>H79</f>
        <v>3200</v>
      </c>
      <c r="I90" s="124">
        <f t="shared" si="35"/>
        <v>60.8</v>
      </c>
      <c r="J90" s="37">
        <f>J79</f>
        <v>4000</v>
      </c>
      <c r="K90" s="41">
        <f t="shared" si="36"/>
        <v>76</v>
      </c>
      <c r="L90" s="380"/>
      <c r="M90" s="203">
        <v>0.019</v>
      </c>
      <c r="N90" s="92">
        <f>N79</f>
        <v>1600</v>
      </c>
      <c r="O90" s="79">
        <f t="shared" si="30"/>
        <v>30.4</v>
      </c>
      <c r="P90" s="92">
        <f>P79</f>
        <v>1800</v>
      </c>
      <c r="Q90" s="79">
        <f t="shared" si="31"/>
        <v>34.199999999999996</v>
      </c>
      <c r="R90" s="278">
        <f>R79</f>
        <v>2500</v>
      </c>
      <c r="S90" s="269">
        <f t="shared" si="32"/>
        <v>47.5</v>
      </c>
      <c r="T90" s="278">
        <f>T79</f>
        <v>2500</v>
      </c>
      <c r="U90" s="269">
        <f t="shared" si="33"/>
        <v>47.5</v>
      </c>
    </row>
    <row r="91" spans="1:21" ht="18.75" customHeight="1">
      <c r="A91" s="495" t="s">
        <v>53</v>
      </c>
      <c r="B91" s="217"/>
      <c r="C91" s="217"/>
      <c r="D91" s="403" t="s">
        <v>44</v>
      </c>
      <c r="E91" s="201">
        <v>0.015</v>
      </c>
      <c r="F91" s="125">
        <f>F79-F81</f>
        <v>2340</v>
      </c>
      <c r="G91" s="124">
        <f t="shared" si="34"/>
        <v>35.1</v>
      </c>
      <c r="H91" s="126">
        <f>H79-H81</f>
        <v>3040</v>
      </c>
      <c r="I91" s="124">
        <f t="shared" si="35"/>
        <v>45.6</v>
      </c>
      <c r="J91" s="16">
        <f>J79-J81</f>
        <v>3840</v>
      </c>
      <c r="K91" s="41">
        <f t="shared" si="36"/>
        <v>57.599999999999994</v>
      </c>
      <c r="L91" s="380"/>
      <c r="M91" s="201">
        <v>0.015</v>
      </c>
      <c r="N91" s="92">
        <f>N79-N81</f>
        <v>1440</v>
      </c>
      <c r="O91" s="79">
        <f t="shared" si="30"/>
        <v>21.599999999999998</v>
      </c>
      <c r="P91" s="83">
        <f>P79-P81</f>
        <v>1640</v>
      </c>
      <c r="Q91" s="79">
        <f t="shared" si="31"/>
        <v>24.599999999999998</v>
      </c>
      <c r="R91" s="270">
        <f>R79-R81</f>
        <v>2340</v>
      </c>
      <c r="S91" s="269">
        <f t="shared" si="32"/>
        <v>35.1</v>
      </c>
      <c r="T91" s="270">
        <f>T79-T81</f>
        <v>2340</v>
      </c>
      <c r="U91" s="269">
        <f t="shared" si="33"/>
        <v>35.1</v>
      </c>
    </row>
    <row r="92" spans="1:21" ht="18.75" customHeight="1">
      <c r="A92" s="495" t="s">
        <v>67</v>
      </c>
      <c r="B92" s="217"/>
      <c r="C92" s="217"/>
      <c r="D92" s="403" t="s">
        <v>42</v>
      </c>
      <c r="E92" s="122">
        <v>0.75</v>
      </c>
      <c r="F92" s="127">
        <f>(SUM(G81:G91)+181)</f>
        <v>621.99</v>
      </c>
      <c r="G92" s="124"/>
      <c r="H92" s="128">
        <f>(SUM(I81:I91)+181)</f>
        <v>661.41</v>
      </c>
      <c r="I92" s="124"/>
      <c r="J92" s="38">
        <f>(SUM(K81:K91)+181)</f>
        <v>713.68</v>
      </c>
      <c r="K92" s="41"/>
      <c r="L92" s="380"/>
      <c r="M92" s="90">
        <v>0.75</v>
      </c>
      <c r="N92" s="93">
        <f>(SUM(O81:O91)+181)</f>
        <v>403.5</v>
      </c>
      <c r="O92" s="91"/>
      <c r="P92" s="94">
        <f>(SUM(Q81:Q91)+181)</f>
        <v>421.69999999999993</v>
      </c>
      <c r="Q92" s="91"/>
      <c r="R92" s="280">
        <f>(SUM(S81:S91)+181)</f>
        <v>456.5</v>
      </c>
      <c r="S92" s="279"/>
      <c r="T92" s="280">
        <f>(SUM(U81:U91)+181)</f>
        <v>456.5</v>
      </c>
      <c r="U92" s="269"/>
    </row>
    <row r="93" spans="1:21" ht="18.75" customHeight="1" thickBot="1">
      <c r="A93" s="495" t="s">
        <v>56</v>
      </c>
      <c r="B93" s="217"/>
      <c r="C93" s="217"/>
      <c r="D93" s="403" t="s">
        <v>42</v>
      </c>
      <c r="E93" s="122">
        <v>0.05</v>
      </c>
      <c r="F93" s="127">
        <f>+E92*F92</f>
        <v>466.4925</v>
      </c>
      <c r="G93" s="124">
        <f>E93*F93</f>
        <v>23.324625</v>
      </c>
      <c r="H93" s="128">
        <f>+E92*H92</f>
        <v>496.0575</v>
      </c>
      <c r="I93" s="124">
        <f>E93*H93</f>
        <v>24.802875</v>
      </c>
      <c r="J93" s="38">
        <f>+E92*J92</f>
        <v>535.26</v>
      </c>
      <c r="K93" s="41">
        <f>E93*J93</f>
        <v>26.763</v>
      </c>
      <c r="L93" s="380"/>
      <c r="M93" s="90">
        <v>0.05</v>
      </c>
      <c r="N93" s="93">
        <f>+M92*N92</f>
        <v>302.625</v>
      </c>
      <c r="O93" s="91">
        <f>M93*N93</f>
        <v>15.131250000000001</v>
      </c>
      <c r="P93" s="94">
        <f>+M92*P92</f>
        <v>316.275</v>
      </c>
      <c r="Q93" s="91">
        <f>M93*P93</f>
        <v>15.813749999999999</v>
      </c>
      <c r="R93" s="281">
        <f>+M92*R92</f>
        <v>342.375</v>
      </c>
      <c r="S93" s="282">
        <f>M93*R93</f>
        <v>17.118750000000002</v>
      </c>
      <c r="T93" s="272">
        <f>+M92*T92</f>
        <v>342.375</v>
      </c>
      <c r="U93" s="269">
        <f t="shared" si="33"/>
        <v>17.118750000000002</v>
      </c>
    </row>
    <row r="94" spans="1:21" ht="18.75" customHeight="1" thickBot="1">
      <c r="A94" s="160" t="s">
        <v>59</v>
      </c>
      <c r="B94" s="214"/>
      <c r="C94" s="214"/>
      <c r="D94" s="406"/>
      <c r="E94" s="144"/>
      <c r="F94" s="151"/>
      <c r="G94" s="145">
        <f>SUM(G80:G93)</f>
        <v>464.314625</v>
      </c>
      <c r="H94" s="146"/>
      <c r="I94" s="145">
        <f>SUM(I80:I93)</f>
        <v>505.21287499999994</v>
      </c>
      <c r="J94" s="153"/>
      <c r="K94" s="367">
        <f>SUM(K80:K93)</f>
        <v>559.443</v>
      </c>
      <c r="L94" s="379"/>
      <c r="M94" s="148"/>
      <c r="N94" s="152"/>
      <c r="O94" s="149">
        <f>SUM(O80:O93)</f>
        <v>237.63125</v>
      </c>
      <c r="P94" s="150"/>
      <c r="Q94" s="149">
        <f>SUM(Q80:Q93)</f>
        <v>256.51374999999996</v>
      </c>
      <c r="R94" s="283"/>
      <c r="S94" s="284">
        <f>SUM(S80:S93)</f>
        <v>292.61875</v>
      </c>
      <c r="T94" s="283"/>
      <c r="U94" s="284">
        <f>SUM(U80:U93)</f>
        <v>292.61875</v>
      </c>
    </row>
    <row r="95" spans="1:21" ht="18.75" customHeight="1">
      <c r="A95" s="220"/>
      <c r="B95" s="217"/>
      <c r="C95" s="217"/>
      <c r="D95" s="397" t="s">
        <v>39</v>
      </c>
      <c r="E95" s="154" t="s">
        <v>40</v>
      </c>
      <c r="F95" s="155" t="s">
        <v>41</v>
      </c>
      <c r="G95" s="156" t="s">
        <v>42</v>
      </c>
      <c r="H95" s="157" t="s">
        <v>43</v>
      </c>
      <c r="I95" s="156" t="s">
        <v>42</v>
      </c>
      <c r="J95" s="158" t="s">
        <v>41</v>
      </c>
      <c r="K95" s="365" t="s">
        <v>42</v>
      </c>
      <c r="L95" s="378"/>
      <c r="M95" s="154" t="s">
        <v>40</v>
      </c>
      <c r="N95" s="155" t="s">
        <v>41</v>
      </c>
      <c r="O95" s="156" t="s">
        <v>42</v>
      </c>
      <c r="P95" s="157" t="s">
        <v>43</v>
      </c>
      <c r="Q95" s="156" t="s">
        <v>42</v>
      </c>
      <c r="R95" s="438" t="s">
        <v>41</v>
      </c>
      <c r="S95" s="439" t="s">
        <v>42</v>
      </c>
      <c r="T95" s="438" t="s">
        <v>41</v>
      </c>
      <c r="U95" s="439" t="s">
        <v>42</v>
      </c>
    </row>
    <row r="96" spans="1:21" ht="18.75" customHeight="1">
      <c r="A96" s="497" t="s">
        <v>68</v>
      </c>
      <c r="B96" s="454"/>
      <c r="C96" s="454"/>
      <c r="D96" s="455" t="s">
        <v>44</v>
      </c>
      <c r="E96" s="470"/>
      <c r="F96" s="457">
        <v>1500</v>
      </c>
      <c r="G96" s="458"/>
      <c r="H96" s="455">
        <f>'[2]C1-alue'!D12</f>
        <v>1500</v>
      </c>
      <c r="I96" s="458"/>
      <c r="J96" s="455">
        <v>2000</v>
      </c>
      <c r="K96" s="458"/>
      <c r="L96" s="452"/>
      <c r="M96" s="470"/>
      <c r="N96" s="459">
        <v>700</v>
      </c>
      <c r="O96" s="460"/>
      <c r="P96" s="461">
        <f>'B-alue'!D66</f>
        <v>800</v>
      </c>
      <c r="Q96" s="460"/>
      <c r="R96" s="462">
        <f>'B-alue'!D27</f>
        <v>1000</v>
      </c>
      <c r="S96" s="498"/>
      <c r="T96" s="462">
        <f>'B-alue'!D44</f>
        <v>1000</v>
      </c>
      <c r="U96" s="498"/>
    </row>
    <row r="97" spans="1:21" ht="18.75" customHeight="1">
      <c r="A97" s="495" t="s">
        <v>33</v>
      </c>
      <c r="B97" s="217"/>
      <c r="C97" s="217"/>
      <c r="D97" s="402"/>
      <c r="E97" s="122"/>
      <c r="F97" s="123"/>
      <c r="G97" s="124"/>
      <c r="H97" s="125"/>
      <c r="I97" s="124"/>
      <c r="J97" s="37"/>
      <c r="K97" s="41"/>
      <c r="L97" s="380"/>
      <c r="M97" s="90"/>
      <c r="N97" s="82"/>
      <c r="O97" s="91"/>
      <c r="P97" s="92"/>
      <c r="Q97" s="91"/>
      <c r="R97" s="278"/>
      <c r="S97" s="279"/>
      <c r="T97" s="278"/>
      <c r="U97" s="279"/>
    </row>
    <row r="98" spans="1:21" ht="18.75" customHeight="1">
      <c r="A98" s="495" t="s">
        <v>69</v>
      </c>
      <c r="B98" s="217"/>
      <c r="C98" s="217"/>
      <c r="D98" s="403" t="s">
        <v>44</v>
      </c>
      <c r="E98" s="198">
        <v>5.61</v>
      </c>
      <c r="F98" s="125">
        <v>9</v>
      </c>
      <c r="G98" s="124">
        <f aca="true" t="shared" si="37" ref="G98:G106">E98*F98</f>
        <v>50.49</v>
      </c>
      <c r="H98" s="229">
        <v>9</v>
      </c>
      <c r="I98" s="124">
        <f aca="true" t="shared" si="38" ref="I98:I106">E98*H98</f>
        <v>50.49</v>
      </c>
      <c r="J98" s="16">
        <v>9</v>
      </c>
      <c r="K98" s="41">
        <f aca="true" t="shared" si="39" ref="K98:K106">E98*J98</f>
        <v>50.49</v>
      </c>
      <c r="L98" s="380"/>
      <c r="M98" s="198">
        <v>7</v>
      </c>
      <c r="N98" s="92">
        <v>9</v>
      </c>
      <c r="O98" s="79">
        <f aca="true" t="shared" si="40" ref="O98:O106">M98*N98</f>
        <v>63</v>
      </c>
      <c r="P98" s="229">
        <v>8</v>
      </c>
      <c r="Q98" s="79">
        <f aca="true" t="shared" si="41" ref="Q98:Q106">M98*P98</f>
        <v>56</v>
      </c>
      <c r="R98" s="374">
        <v>9</v>
      </c>
      <c r="S98" s="269">
        <f aca="true" t="shared" si="42" ref="S98:S106">M98*R98</f>
        <v>63</v>
      </c>
      <c r="T98" s="374">
        <v>9</v>
      </c>
      <c r="U98" s="269">
        <f aca="true" t="shared" si="43" ref="U98:U108">M98*T98</f>
        <v>63</v>
      </c>
    </row>
    <row r="99" spans="1:34" s="32" customFormat="1" ht="18.75" customHeight="1">
      <c r="A99" s="539" t="s">
        <v>165</v>
      </c>
      <c r="B99" s="217"/>
      <c r="C99" s="217"/>
      <c r="D99" s="403" t="s">
        <v>44</v>
      </c>
      <c r="E99" s="201">
        <v>0.457</v>
      </c>
      <c r="F99" s="125">
        <v>500</v>
      </c>
      <c r="G99" s="124">
        <f t="shared" si="37"/>
        <v>228.5</v>
      </c>
      <c r="H99" s="229">
        <v>370</v>
      </c>
      <c r="I99" s="124">
        <f>E99*H99</f>
        <v>169.09</v>
      </c>
      <c r="J99" s="16">
        <v>700</v>
      </c>
      <c r="K99" s="41">
        <f t="shared" si="39"/>
        <v>319.90000000000003</v>
      </c>
      <c r="L99" s="380" t="s">
        <v>79</v>
      </c>
      <c r="M99" s="203">
        <v>0.23</v>
      </c>
      <c r="N99" s="78">
        <v>0</v>
      </c>
      <c r="O99" s="79">
        <f t="shared" si="40"/>
        <v>0</v>
      </c>
      <c r="P99" s="225">
        <v>700</v>
      </c>
      <c r="Q99" s="79">
        <f t="shared" si="41"/>
        <v>161</v>
      </c>
      <c r="R99" s="372">
        <v>0</v>
      </c>
      <c r="S99" s="269">
        <f t="shared" si="42"/>
        <v>0</v>
      </c>
      <c r="T99" s="372">
        <v>0</v>
      </c>
      <c r="U99" s="269">
        <f t="shared" si="43"/>
        <v>0</v>
      </c>
      <c r="V99"/>
      <c r="W99" s="7"/>
      <c r="X99" s="7"/>
      <c r="Y99" s="7"/>
      <c r="Z99" s="7"/>
      <c r="AA99" s="7"/>
      <c r="AB99" s="56"/>
      <c r="AC99" s="7"/>
      <c r="AD99" s="52"/>
      <c r="AE99" s="7"/>
      <c r="AF99" s="7"/>
      <c r="AG99" s="7"/>
      <c r="AH99"/>
    </row>
    <row r="100" spans="1:21" ht="18.75" customHeight="1">
      <c r="A100" s="495" t="s">
        <v>47</v>
      </c>
      <c r="B100" s="217"/>
      <c r="C100" s="217"/>
      <c r="D100" s="403" t="s">
        <v>58</v>
      </c>
      <c r="E100" s="199">
        <v>44</v>
      </c>
      <c r="F100" s="125">
        <v>0</v>
      </c>
      <c r="G100" s="124">
        <f t="shared" si="37"/>
        <v>0</v>
      </c>
      <c r="H100" s="126">
        <v>0.25</v>
      </c>
      <c r="I100" s="124">
        <f t="shared" si="38"/>
        <v>11</v>
      </c>
      <c r="J100" s="16">
        <v>0.5</v>
      </c>
      <c r="K100" s="41">
        <f t="shared" si="39"/>
        <v>22</v>
      </c>
      <c r="L100" s="380"/>
      <c r="M100" s="199">
        <v>44</v>
      </c>
      <c r="N100" s="92">
        <v>0</v>
      </c>
      <c r="O100" s="79">
        <f t="shared" si="40"/>
        <v>0</v>
      </c>
      <c r="P100" s="83">
        <v>0</v>
      </c>
      <c r="Q100" s="79">
        <f t="shared" si="41"/>
        <v>0</v>
      </c>
      <c r="R100" s="270">
        <v>0.25</v>
      </c>
      <c r="S100" s="269">
        <f t="shared" si="42"/>
        <v>11</v>
      </c>
      <c r="T100" s="270">
        <v>0.25</v>
      </c>
      <c r="U100" s="269">
        <f t="shared" si="43"/>
        <v>11</v>
      </c>
    </row>
    <row r="101" spans="1:21" ht="18.75" customHeight="1">
      <c r="A101" s="499" t="s">
        <v>92</v>
      </c>
      <c r="B101" s="217"/>
      <c r="C101" s="217"/>
      <c r="D101" s="399" t="s">
        <v>11</v>
      </c>
      <c r="E101" s="200">
        <v>62</v>
      </c>
      <c r="F101" s="125">
        <v>1</v>
      </c>
      <c r="G101" s="124">
        <f t="shared" si="37"/>
        <v>62</v>
      </c>
      <c r="H101" s="126">
        <v>1</v>
      </c>
      <c r="I101" s="124">
        <f t="shared" si="38"/>
        <v>62</v>
      </c>
      <c r="J101" s="16">
        <v>1</v>
      </c>
      <c r="K101" s="41">
        <f t="shared" si="39"/>
        <v>62</v>
      </c>
      <c r="L101" s="380" t="s">
        <v>81</v>
      </c>
      <c r="M101" s="200">
        <v>0</v>
      </c>
      <c r="N101" s="92">
        <v>0</v>
      </c>
      <c r="O101" s="79">
        <f t="shared" si="40"/>
        <v>0</v>
      </c>
      <c r="P101" s="83">
        <v>0</v>
      </c>
      <c r="Q101" s="79">
        <f t="shared" si="41"/>
        <v>0</v>
      </c>
      <c r="R101" s="270">
        <v>0</v>
      </c>
      <c r="S101" s="269">
        <f t="shared" si="42"/>
        <v>0</v>
      </c>
      <c r="T101" s="270">
        <v>0</v>
      </c>
      <c r="U101" s="269">
        <f t="shared" si="43"/>
        <v>0</v>
      </c>
    </row>
    <row r="102" spans="1:21" ht="18.75" customHeight="1">
      <c r="A102" s="499" t="s">
        <v>92</v>
      </c>
      <c r="B102" s="217"/>
      <c r="C102" s="217"/>
      <c r="D102" s="399" t="s">
        <v>70</v>
      </c>
      <c r="E102" s="200">
        <v>0</v>
      </c>
      <c r="F102" s="125">
        <v>0.7</v>
      </c>
      <c r="G102" s="124">
        <f>E102*F102</f>
        <v>0</v>
      </c>
      <c r="H102" s="126">
        <v>1</v>
      </c>
      <c r="I102" s="124">
        <f>E102*H102</f>
        <v>0</v>
      </c>
      <c r="J102" s="16">
        <v>1.5</v>
      </c>
      <c r="K102" s="41">
        <f>E102*J102</f>
        <v>0</v>
      </c>
      <c r="L102" s="380" t="s">
        <v>80</v>
      </c>
      <c r="M102" s="202">
        <v>7.5</v>
      </c>
      <c r="N102" s="92">
        <v>1</v>
      </c>
      <c r="O102" s="79">
        <f t="shared" si="40"/>
        <v>7.5</v>
      </c>
      <c r="P102" s="83">
        <v>1</v>
      </c>
      <c r="Q102" s="79">
        <f t="shared" si="41"/>
        <v>7.5</v>
      </c>
      <c r="R102" s="270">
        <v>1</v>
      </c>
      <c r="S102" s="269">
        <f t="shared" si="42"/>
        <v>7.5</v>
      </c>
      <c r="T102" s="270">
        <v>1</v>
      </c>
      <c r="U102" s="269">
        <f t="shared" si="43"/>
        <v>7.5</v>
      </c>
    </row>
    <row r="103" spans="1:21" ht="18.75" customHeight="1">
      <c r="A103" s="495" t="s">
        <v>64</v>
      </c>
      <c r="B103" s="217"/>
      <c r="C103" s="217"/>
      <c r="D103" s="403" t="s">
        <v>50</v>
      </c>
      <c r="E103" s="224">
        <v>7.6</v>
      </c>
      <c r="F103" s="125">
        <v>8</v>
      </c>
      <c r="G103" s="124">
        <f t="shared" si="37"/>
        <v>60.8</v>
      </c>
      <c r="H103" s="126">
        <v>8</v>
      </c>
      <c r="I103" s="124">
        <f t="shared" si="38"/>
        <v>60.8</v>
      </c>
      <c r="J103" s="16">
        <v>8</v>
      </c>
      <c r="K103" s="41">
        <f t="shared" si="39"/>
        <v>60.8</v>
      </c>
      <c r="L103" s="380"/>
      <c r="M103" s="224">
        <v>7.6</v>
      </c>
      <c r="N103" s="92">
        <v>8</v>
      </c>
      <c r="O103" s="79">
        <f t="shared" si="40"/>
        <v>60.8</v>
      </c>
      <c r="P103" s="83">
        <v>10</v>
      </c>
      <c r="Q103" s="79">
        <f t="shared" si="41"/>
        <v>76</v>
      </c>
      <c r="R103" s="270">
        <v>10</v>
      </c>
      <c r="S103" s="269">
        <f t="shared" si="42"/>
        <v>76</v>
      </c>
      <c r="T103" s="270">
        <v>10</v>
      </c>
      <c r="U103" s="269">
        <f t="shared" si="43"/>
        <v>76</v>
      </c>
    </row>
    <row r="104" spans="1:21" ht="18.75" customHeight="1">
      <c r="A104" s="495" t="s">
        <v>65</v>
      </c>
      <c r="B104" s="217"/>
      <c r="C104" s="217"/>
      <c r="D104" s="403" t="s">
        <v>50</v>
      </c>
      <c r="E104" s="224">
        <v>7.6</v>
      </c>
      <c r="F104" s="125">
        <v>1.9</v>
      </c>
      <c r="G104" s="124">
        <f t="shared" si="37"/>
        <v>14.44</v>
      </c>
      <c r="H104" s="126">
        <v>1.9</v>
      </c>
      <c r="I104" s="124">
        <f t="shared" si="38"/>
        <v>14.44</v>
      </c>
      <c r="J104" s="16">
        <v>1.9</v>
      </c>
      <c r="K104" s="41">
        <f t="shared" si="39"/>
        <v>14.44</v>
      </c>
      <c r="L104" s="380"/>
      <c r="M104" s="224">
        <v>7.6</v>
      </c>
      <c r="N104" s="92">
        <v>1.9</v>
      </c>
      <c r="O104" s="79">
        <f t="shared" si="40"/>
        <v>14.44</v>
      </c>
      <c r="P104" s="83">
        <v>1.9</v>
      </c>
      <c r="Q104" s="79">
        <f t="shared" si="41"/>
        <v>14.44</v>
      </c>
      <c r="R104" s="270">
        <v>1.9</v>
      </c>
      <c r="S104" s="269">
        <f t="shared" si="42"/>
        <v>14.44</v>
      </c>
      <c r="T104" s="270">
        <v>1.9</v>
      </c>
      <c r="U104" s="269">
        <f t="shared" si="43"/>
        <v>14.44</v>
      </c>
    </row>
    <row r="105" spans="1:21" ht="18.75" customHeight="1">
      <c r="A105" s="495" t="s">
        <v>66</v>
      </c>
      <c r="B105" s="217"/>
      <c r="C105" s="217"/>
      <c r="D105" s="403" t="s">
        <v>44</v>
      </c>
      <c r="E105" s="201">
        <v>0.019</v>
      </c>
      <c r="F105" s="125">
        <f>F96</f>
        <v>1500</v>
      </c>
      <c r="G105" s="124">
        <f t="shared" si="37"/>
        <v>28.5</v>
      </c>
      <c r="H105" s="126">
        <f>H96</f>
        <v>1500</v>
      </c>
      <c r="I105" s="124">
        <f t="shared" si="38"/>
        <v>28.5</v>
      </c>
      <c r="J105" s="16">
        <f>J96</f>
        <v>2000</v>
      </c>
      <c r="K105" s="41">
        <f t="shared" si="39"/>
        <v>38</v>
      </c>
      <c r="L105" s="380"/>
      <c r="M105" s="201">
        <v>0.019</v>
      </c>
      <c r="N105" s="92">
        <f>N96</f>
        <v>700</v>
      </c>
      <c r="O105" s="79">
        <f t="shared" si="40"/>
        <v>13.299999999999999</v>
      </c>
      <c r="P105" s="83">
        <f>P96</f>
        <v>800</v>
      </c>
      <c r="Q105" s="79">
        <f t="shared" si="41"/>
        <v>15.2</v>
      </c>
      <c r="R105" s="270">
        <f>R96</f>
        <v>1000</v>
      </c>
      <c r="S105" s="269">
        <f t="shared" si="42"/>
        <v>19</v>
      </c>
      <c r="T105" s="270">
        <f>T96</f>
        <v>1000</v>
      </c>
      <c r="U105" s="269">
        <f t="shared" si="43"/>
        <v>19</v>
      </c>
    </row>
    <row r="106" spans="1:21" ht="18.75" customHeight="1">
      <c r="A106" s="495" t="s">
        <v>53</v>
      </c>
      <c r="B106" s="217"/>
      <c r="C106" s="217"/>
      <c r="D106" s="403" t="s">
        <v>44</v>
      </c>
      <c r="E106" s="201">
        <v>0.016</v>
      </c>
      <c r="F106" s="125">
        <f>F96</f>
        <v>1500</v>
      </c>
      <c r="G106" s="124">
        <f t="shared" si="37"/>
        <v>24</v>
      </c>
      <c r="H106" s="126">
        <f>H96</f>
        <v>1500</v>
      </c>
      <c r="I106" s="124">
        <f t="shared" si="38"/>
        <v>24</v>
      </c>
      <c r="J106" s="16">
        <f>J96</f>
        <v>2000</v>
      </c>
      <c r="K106" s="41">
        <f t="shared" si="39"/>
        <v>32</v>
      </c>
      <c r="L106" s="380"/>
      <c r="M106" s="201">
        <v>0.016</v>
      </c>
      <c r="N106" s="92">
        <f>N96</f>
        <v>700</v>
      </c>
      <c r="O106" s="79">
        <f t="shared" si="40"/>
        <v>11.200000000000001</v>
      </c>
      <c r="P106" s="83">
        <f>P96</f>
        <v>800</v>
      </c>
      <c r="Q106" s="79">
        <f t="shared" si="41"/>
        <v>12.8</v>
      </c>
      <c r="R106" s="270">
        <f>R96</f>
        <v>1000</v>
      </c>
      <c r="S106" s="269">
        <f t="shared" si="42"/>
        <v>16</v>
      </c>
      <c r="T106" s="270">
        <f>T96</f>
        <v>1000</v>
      </c>
      <c r="U106" s="269">
        <f t="shared" si="43"/>
        <v>16</v>
      </c>
    </row>
    <row r="107" spans="1:21" ht="18.75" customHeight="1">
      <c r="A107" s="495" t="s">
        <v>54</v>
      </c>
      <c r="B107" s="217"/>
      <c r="C107" s="217"/>
      <c r="D107" s="403" t="s">
        <v>42</v>
      </c>
      <c r="E107" s="122">
        <v>0.5</v>
      </c>
      <c r="F107" s="127">
        <f>(SUM(G98:G106)+167)</f>
        <v>635.73</v>
      </c>
      <c r="G107" s="124"/>
      <c r="H107" s="128">
        <f>(SUM(I98:I106)+167)</f>
        <v>587.32</v>
      </c>
      <c r="I107" s="124"/>
      <c r="J107" s="38">
        <f>(SUM(K98:K106)+167)</f>
        <v>766.6300000000001</v>
      </c>
      <c r="K107" s="41"/>
      <c r="L107" s="380"/>
      <c r="M107" s="90">
        <v>0.5</v>
      </c>
      <c r="N107" s="93">
        <f>(SUM(O98:O106)+167)</f>
        <v>337.24</v>
      </c>
      <c r="O107" s="91"/>
      <c r="P107" s="94">
        <f>(SUM(Q98:Q106)+167)</f>
        <v>509.94</v>
      </c>
      <c r="Q107" s="91"/>
      <c r="R107" s="280">
        <f>(SUM(S98:S106)+167)</f>
        <v>373.94</v>
      </c>
      <c r="S107" s="279"/>
      <c r="T107" s="280">
        <f>(SUM(U98:U106)+167)</f>
        <v>373.94</v>
      </c>
      <c r="U107" s="269"/>
    </row>
    <row r="108" spans="1:21" ht="18.75" customHeight="1" thickBot="1">
      <c r="A108" s="495" t="s">
        <v>56</v>
      </c>
      <c r="B108" s="217"/>
      <c r="C108" s="217"/>
      <c r="D108" s="403" t="s">
        <v>42</v>
      </c>
      <c r="E108" s="122">
        <v>0.05</v>
      </c>
      <c r="F108" s="127">
        <f>+E107*F107</f>
        <v>317.865</v>
      </c>
      <c r="G108" s="124">
        <f>E108*F108</f>
        <v>15.893250000000002</v>
      </c>
      <c r="H108" s="128">
        <f>+E107*H107</f>
        <v>293.66</v>
      </c>
      <c r="I108" s="124">
        <f>E108*H108</f>
        <v>14.683000000000002</v>
      </c>
      <c r="J108" s="38">
        <f>+E107*J107</f>
        <v>383.31500000000005</v>
      </c>
      <c r="K108" s="41">
        <f>E108*J108</f>
        <v>19.165750000000003</v>
      </c>
      <c r="L108" s="380"/>
      <c r="M108" s="90">
        <v>0.05</v>
      </c>
      <c r="N108" s="93">
        <f>+M107*N107</f>
        <v>168.62</v>
      </c>
      <c r="O108" s="91">
        <f>M108*N108</f>
        <v>8.431000000000001</v>
      </c>
      <c r="P108" s="94">
        <f>+M107*P107</f>
        <v>254.97</v>
      </c>
      <c r="Q108" s="91">
        <f>M108*P108</f>
        <v>12.7485</v>
      </c>
      <c r="R108" s="280">
        <f>+M107*R107</f>
        <v>186.97</v>
      </c>
      <c r="S108" s="279">
        <f>M108*R108</f>
        <v>9.3485</v>
      </c>
      <c r="T108" s="272">
        <f>+M107*T107</f>
        <v>186.97</v>
      </c>
      <c r="U108" s="269">
        <f t="shared" si="43"/>
        <v>9.3485</v>
      </c>
    </row>
    <row r="109" spans="1:21" ht="18.75" customHeight="1" thickBot="1">
      <c r="A109" s="160" t="s">
        <v>59</v>
      </c>
      <c r="B109" s="214"/>
      <c r="C109" s="214"/>
      <c r="D109" s="406"/>
      <c r="E109" s="144"/>
      <c r="F109" s="151"/>
      <c r="G109" s="145">
        <f>SUM(G97:G108)</f>
        <v>484.62325000000004</v>
      </c>
      <c r="H109" s="146"/>
      <c r="I109" s="145">
        <f>SUM(I97:I108)</f>
        <v>435.00300000000004</v>
      </c>
      <c r="J109" s="153"/>
      <c r="K109" s="367">
        <f>SUM(K97:K108)</f>
        <v>618.7957500000001</v>
      </c>
      <c r="L109" s="379"/>
      <c r="M109" s="148"/>
      <c r="N109" s="152"/>
      <c r="O109" s="149">
        <f>SUM(O97:O108)</f>
        <v>178.67100000000002</v>
      </c>
      <c r="P109" s="150"/>
      <c r="Q109" s="266">
        <f>SUM(Q97:Q108)</f>
        <v>355.6885</v>
      </c>
      <c r="R109" s="449"/>
      <c r="S109" s="268">
        <f>SUM(S97:S108)</f>
        <v>216.2885</v>
      </c>
      <c r="T109" s="449"/>
      <c r="U109" s="268">
        <f>SUM(U97:U108)</f>
        <v>216.2885</v>
      </c>
    </row>
    <row r="110" spans="1:21" ht="18.75" customHeight="1">
      <c r="A110" s="220"/>
      <c r="B110" s="217"/>
      <c r="C110" s="217"/>
      <c r="D110" s="407" t="s">
        <v>39</v>
      </c>
      <c r="E110" s="42" t="s">
        <v>40</v>
      </c>
      <c r="F110" s="58" t="s">
        <v>41</v>
      </c>
      <c r="G110" s="59" t="s">
        <v>42</v>
      </c>
      <c r="H110" s="60" t="s">
        <v>43</v>
      </c>
      <c r="I110" s="59" t="s">
        <v>42</v>
      </c>
      <c r="J110" s="61" t="s">
        <v>41</v>
      </c>
      <c r="K110" s="64" t="s">
        <v>42</v>
      </c>
      <c r="L110" s="385"/>
      <c r="M110" s="42" t="s">
        <v>40</v>
      </c>
      <c r="N110" s="58" t="s">
        <v>41</v>
      </c>
      <c r="O110" s="59" t="s">
        <v>42</v>
      </c>
      <c r="P110" s="60" t="s">
        <v>43</v>
      </c>
      <c r="Q110" s="59" t="s">
        <v>42</v>
      </c>
      <c r="R110" s="61" t="s">
        <v>41</v>
      </c>
      <c r="S110" s="62" t="s">
        <v>42</v>
      </c>
      <c r="T110" s="61" t="s">
        <v>41</v>
      </c>
      <c r="U110" s="62" t="s">
        <v>42</v>
      </c>
    </row>
    <row r="111" spans="1:21" ht="18.75" customHeight="1">
      <c r="A111" s="500" t="s">
        <v>19</v>
      </c>
      <c r="B111" s="454"/>
      <c r="C111" s="454"/>
      <c r="D111" s="462" t="s">
        <v>44</v>
      </c>
      <c r="E111" s="471"/>
      <c r="F111" s="472">
        <v>2500</v>
      </c>
      <c r="G111" s="472"/>
      <c r="H111" s="472">
        <v>3000</v>
      </c>
      <c r="I111" s="472"/>
      <c r="J111" s="472">
        <v>3500</v>
      </c>
      <c r="K111" s="472"/>
      <c r="L111" s="468"/>
      <c r="M111" s="471"/>
      <c r="N111" s="472">
        <v>1500</v>
      </c>
      <c r="O111" s="472"/>
      <c r="P111" s="472">
        <f>'B-alue'!D69</f>
        <v>2500</v>
      </c>
      <c r="Q111" s="472"/>
      <c r="R111" s="472">
        <f>'B-alue'!D30</f>
        <v>2500</v>
      </c>
      <c r="S111" s="501"/>
      <c r="T111" s="472">
        <f>'B-alue'!D47</f>
        <v>2500</v>
      </c>
      <c r="U111" s="501"/>
    </row>
    <row r="112" spans="1:21" ht="18.75" customHeight="1">
      <c r="A112" s="499" t="s">
        <v>33</v>
      </c>
      <c r="B112" s="217"/>
      <c r="C112" s="217"/>
      <c r="D112" s="408"/>
      <c r="E112" s="362"/>
      <c r="F112" s="132"/>
      <c r="G112" s="112"/>
      <c r="H112" s="133"/>
      <c r="I112" s="112"/>
      <c r="J112" s="35"/>
      <c r="K112" s="35"/>
      <c r="L112" s="380"/>
      <c r="M112" s="386"/>
      <c r="N112" s="99"/>
      <c r="O112" s="79"/>
      <c r="P112" s="100"/>
      <c r="Q112" s="79"/>
      <c r="R112" s="286"/>
      <c r="S112" s="269"/>
      <c r="T112" s="286"/>
      <c r="U112" s="269"/>
    </row>
    <row r="113" spans="1:21" ht="18.75" customHeight="1">
      <c r="A113" s="499" t="s">
        <v>90</v>
      </c>
      <c r="B113" s="217"/>
      <c r="C113" s="217"/>
      <c r="D113" s="399" t="s">
        <v>44</v>
      </c>
      <c r="E113" s="231">
        <v>0</v>
      </c>
      <c r="F113" s="134">
        <v>0</v>
      </c>
      <c r="G113" s="134">
        <f>$E113*F113</f>
        <v>0</v>
      </c>
      <c r="H113" s="199">
        <v>0</v>
      </c>
      <c r="I113" s="124">
        <f aca="true" t="shared" si="44" ref="I113:I121">$E113*H113</f>
        <v>0</v>
      </c>
      <c r="J113" s="41">
        <v>0</v>
      </c>
      <c r="K113" s="41">
        <f aca="true" t="shared" si="45" ref="K113:K123">$E113*J113</f>
        <v>0</v>
      </c>
      <c r="L113" s="380"/>
      <c r="M113" s="231">
        <v>0</v>
      </c>
      <c r="N113" s="81">
        <v>0</v>
      </c>
      <c r="O113" s="98">
        <f aca="true" t="shared" si="46" ref="O113:O121">M113*N113</f>
        <v>0</v>
      </c>
      <c r="P113" s="199">
        <v>0</v>
      </c>
      <c r="Q113" s="79">
        <f aca="true" t="shared" si="47" ref="Q113:Q121">M113*P113</f>
        <v>0</v>
      </c>
      <c r="R113" s="375">
        <v>0</v>
      </c>
      <c r="S113" s="269">
        <f aca="true" t="shared" si="48" ref="S113:S121">M113*R113</f>
        <v>0</v>
      </c>
      <c r="T113" s="375">
        <v>0</v>
      </c>
      <c r="U113" s="269">
        <f aca="true" t="shared" si="49" ref="U113:U123">M113*T113</f>
        <v>0</v>
      </c>
    </row>
    <row r="114" spans="1:21" ht="18.75" customHeight="1">
      <c r="A114" s="499" t="s">
        <v>91</v>
      </c>
      <c r="B114" s="217"/>
      <c r="C114" s="217"/>
      <c r="D114" s="399" t="s">
        <v>44</v>
      </c>
      <c r="E114" s="231">
        <v>0.42</v>
      </c>
      <c r="F114" s="115">
        <v>350</v>
      </c>
      <c r="G114" s="134">
        <f>$E114*F114</f>
        <v>147</v>
      </c>
      <c r="H114" s="200">
        <v>167</v>
      </c>
      <c r="I114" s="124">
        <f t="shared" si="44"/>
        <v>70.14</v>
      </c>
      <c r="J114" s="35">
        <v>350</v>
      </c>
      <c r="K114" s="41">
        <f t="shared" si="45"/>
        <v>147</v>
      </c>
      <c r="L114" s="380"/>
      <c r="M114" s="231">
        <v>0.52</v>
      </c>
      <c r="N114" s="98">
        <v>350</v>
      </c>
      <c r="O114" s="98">
        <f t="shared" si="46"/>
        <v>182</v>
      </c>
      <c r="P114" s="200">
        <v>350</v>
      </c>
      <c r="Q114" s="79">
        <f t="shared" si="47"/>
        <v>182</v>
      </c>
      <c r="R114" s="376">
        <v>350</v>
      </c>
      <c r="S114" s="269">
        <f t="shared" si="48"/>
        <v>182</v>
      </c>
      <c r="T114" s="376">
        <v>350</v>
      </c>
      <c r="U114" s="269">
        <f t="shared" si="49"/>
        <v>182</v>
      </c>
    </row>
    <row r="115" spans="1:34" s="32" customFormat="1" ht="18.75" customHeight="1">
      <c r="A115" s="499" t="s">
        <v>92</v>
      </c>
      <c r="B115" s="217"/>
      <c r="C115" s="217"/>
      <c r="D115" s="399" t="s">
        <v>11</v>
      </c>
      <c r="E115" s="231">
        <v>62</v>
      </c>
      <c r="F115" s="135">
        <v>1</v>
      </c>
      <c r="G115" s="124">
        <f aca="true" t="shared" si="50" ref="G115:G123">E115*F115</f>
        <v>62</v>
      </c>
      <c r="H115" s="136">
        <v>1</v>
      </c>
      <c r="I115" s="124">
        <f t="shared" si="44"/>
        <v>62</v>
      </c>
      <c r="J115" s="35">
        <v>1</v>
      </c>
      <c r="K115" s="41">
        <f t="shared" si="45"/>
        <v>62</v>
      </c>
      <c r="L115" s="380" t="s">
        <v>80</v>
      </c>
      <c r="M115" s="202">
        <v>7.5</v>
      </c>
      <c r="N115" s="92">
        <v>1</v>
      </c>
      <c r="O115" s="79">
        <f t="shared" si="46"/>
        <v>7.5</v>
      </c>
      <c r="P115" s="83">
        <v>1</v>
      </c>
      <c r="Q115" s="79">
        <f t="shared" si="47"/>
        <v>7.5</v>
      </c>
      <c r="R115" s="270">
        <v>1</v>
      </c>
      <c r="S115" s="269">
        <f t="shared" si="48"/>
        <v>7.5</v>
      </c>
      <c r="T115" s="270">
        <v>1</v>
      </c>
      <c r="U115" s="269">
        <f t="shared" si="49"/>
        <v>7.5</v>
      </c>
      <c r="V115"/>
      <c r="W115" s="7"/>
      <c r="X115" s="7"/>
      <c r="Y115" s="7"/>
      <c r="Z115" s="7"/>
      <c r="AA115" s="7"/>
      <c r="AB115" s="56"/>
      <c r="AC115" s="7"/>
      <c r="AD115" s="52"/>
      <c r="AE115" s="7"/>
      <c r="AF115" s="7"/>
      <c r="AG115" s="7"/>
      <c r="AH115"/>
    </row>
    <row r="116" spans="1:21" ht="18.75" customHeight="1">
      <c r="A116" s="539" t="s">
        <v>165</v>
      </c>
      <c r="B116" s="217"/>
      <c r="C116" s="217"/>
      <c r="D116" s="399" t="s">
        <v>44</v>
      </c>
      <c r="E116" s="211">
        <f>E2</f>
        <v>0.412</v>
      </c>
      <c r="F116" s="115">
        <v>150</v>
      </c>
      <c r="G116" s="124">
        <f>$E116*F116</f>
        <v>61.8</v>
      </c>
      <c r="H116" s="133">
        <v>200</v>
      </c>
      <c r="I116" s="124">
        <f t="shared" si="44"/>
        <v>82.39999999999999</v>
      </c>
      <c r="J116" s="35">
        <v>250</v>
      </c>
      <c r="K116" s="41">
        <f t="shared" si="45"/>
        <v>103</v>
      </c>
      <c r="L116" s="387" t="s">
        <v>149</v>
      </c>
      <c r="M116" s="202">
        <v>0.1</v>
      </c>
      <c r="N116" s="92">
        <v>350</v>
      </c>
      <c r="O116" s="79">
        <f t="shared" si="46"/>
        <v>35</v>
      </c>
      <c r="P116" s="82">
        <v>0</v>
      </c>
      <c r="Q116" s="79">
        <f t="shared" si="47"/>
        <v>0</v>
      </c>
      <c r="R116" s="278">
        <v>0</v>
      </c>
      <c r="S116" s="269">
        <f t="shared" si="48"/>
        <v>0</v>
      </c>
      <c r="T116" s="278">
        <v>0</v>
      </c>
      <c r="U116" s="269">
        <f t="shared" si="49"/>
        <v>0</v>
      </c>
    </row>
    <row r="117" spans="1:21" ht="18.75" customHeight="1">
      <c r="A117" s="499" t="s">
        <v>93</v>
      </c>
      <c r="B117" s="217"/>
      <c r="C117" s="217"/>
      <c r="D117" s="399"/>
      <c r="E117" s="232">
        <v>44</v>
      </c>
      <c r="F117" s="115">
        <v>0</v>
      </c>
      <c r="G117" s="124">
        <f>$E117*F117</f>
        <v>0</v>
      </c>
      <c r="H117" s="136">
        <v>0.25</v>
      </c>
      <c r="I117" s="124">
        <f t="shared" si="44"/>
        <v>11</v>
      </c>
      <c r="J117" s="40">
        <v>0.5</v>
      </c>
      <c r="K117" s="41">
        <f t="shared" si="45"/>
        <v>22</v>
      </c>
      <c r="L117" s="380"/>
      <c r="M117" s="200">
        <v>44</v>
      </c>
      <c r="N117" s="78">
        <v>0</v>
      </c>
      <c r="O117" s="79">
        <f>M117*N117</f>
        <v>0</v>
      </c>
      <c r="P117" s="80">
        <v>0</v>
      </c>
      <c r="Q117" s="79">
        <f>M117*P117</f>
        <v>0</v>
      </c>
      <c r="R117" s="285">
        <v>0</v>
      </c>
      <c r="S117" s="269">
        <f t="shared" si="48"/>
        <v>0</v>
      </c>
      <c r="T117" s="285">
        <v>0</v>
      </c>
      <c r="U117" s="269">
        <f t="shared" si="49"/>
        <v>0</v>
      </c>
    </row>
    <row r="118" spans="1:21" ht="18.75" customHeight="1">
      <c r="A118" s="495" t="s">
        <v>64</v>
      </c>
      <c r="B118" s="217"/>
      <c r="C118" s="217"/>
      <c r="D118" s="399" t="s">
        <v>50</v>
      </c>
      <c r="E118" s="224">
        <v>7.6</v>
      </c>
      <c r="F118" s="115">
        <v>8</v>
      </c>
      <c r="G118" s="124">
        <f t="shared" si="50"/>
        <v>60.8</v>
      </c>
      <c r="H118" s="133">
        <v>8</v>
      </c>
      <c r="I118" s="124">
        <f t="shared" si="44"/>
        <v>60.8</v>
      </c>
      <c r="J118" s="35">
        <v>8</v>
      </c>
      <c r="K118" s="41">
        <f t="shared" si="45"/>
        <v>60.8</v>
      </c>
      <c r="L118" s="380"/>
      <c r="M118" s="224">
        <v>7.6</v>
      </c>
      <c r="N118" s="98">
        <v>8</v>
      </c>
      <c r="O118" s="79">
        <f t="shared" si="46"/>
        <v>60.8</v>
      </c>
      <c r="P118" s="100">
        <v>8</v>
      </c>
      <c r="Q118" s="79">
        <f t="shared" si="47"/>
        <v>60.8</v>
      </c>
      <c r="R118" s="286">
        <v>8</v>
      </c>
      <c r="S118" s="269">
        <f t="shared" si="48"/>
        <v>60.8</v>
      </c>
      <c r="T118" s="286">
        <v>8</v>
      </c>
      <c r="U118" s="269">
        <f t="shared" si="49"/>
        <v>60.8</v>
      </c>
    </row>
    <row r="119" spans="1:21" ht="18.75" customHeight="1">
      <c r="A119" s="495" t="s">
        <v>65</v>
      </c>
      <c r="B119" s="217"/>
      <c r="C119" s="217"/>
      <c r="D119" s="399" t="s">
        <v>50</v>
      </c>
      <c r="E119" s="224">
        <v>7.6</v>
      </c>
      <c r="F119" s="135">
        <v>1.9</v>
      </c>
      <c r="G119" s="124">
        <f t="shared" si="50"/>
        <v>14.44</v>
      </c>
      <c r="H119" s="137">
        <v>1.9</v>
      </c>
      <c r="I119" s="124">
        <f t="shared" si="44"/>
        <v>14.44</v>
      </c>
      <c r="J119" s="103">
        <v>1.9</v>
      </c>
      <c r="K119" s="41">
        <f t="shared" si="45"/>
        <v>14.44</v>
      </c>
      <c r="L119" s="380"/>
      <c r="M119" s="224">
        <v>7.6</v>
      </c>
      <c r="N119" s="106">
        <v>1.9</v>
      </c>
      <c r="O119" s="79">
        <f t="shared" si="46"/>
        <v>14.44</v>
      </c>
      <c r="P119" s="101">
        <v>1.9</v>
      </c>
      <c r="Q119" s="79">
        <f t="shared" si="47"/>
        <v>14.44</v>
      </c>
      <c r="R119" s="377">
        <v>1.9</v>
      </c>
      <c r="S119" s="269">
        <f t="shared" si="48"/>
        <v>14.44</v>
      </c>
      <c r="T119" s="377">
        <v>1.9</v>
      </c>
      <c r="U119" s="269">
        <f t="shared" si="49"/>
        <v>14.44</v>
      </c>
    </row>
    <row r="120" spans="1:21" ht="18.75" customHeight="1">
      <c r="A120" s="495" t="s">
        <v>66</v>
      </c>
      <c r="B120" s="217"/>
      <c r="C120" s="217"/>
      <c r="D120" s="399" t="s">
        <v>44</v>
      </c>
      <c r="E120" s="201">
        <v>0.032</v>
      </c>
      <c r="F120" s="128">
        <f>F111</f>
        <v>2500</v>
      </c>
      <c r="G120" s="124">
        <f t="shared" si="50"/>
        <v>80</v>
      </c>
      <c r="H120" s="128">
        <f>H111</f>
        <v>3000</v>
      </c>
      <c r="I120" s="124">
        <f t="shared" si="44"/>
        <v>96</v>
      </c>
      <c r="J120" s="38">
        <f>J111</f>
        <v>3500</v>
      </c>
      <c r="K120" s="41">
        <f t="shared" si="45"/>
        <v>112</v>
      </c>
      <c r="L120" s="380"/>
      <c r="M120" s="201">
        <v>0.032</v>
      </c>
      <c r="N120" s="94">
        <f>N111</f>
        <v>1500</v>
      </c>
      <c r="O120" s="79">
        <f t="shared" si="46"/>
        <v>48</v>
      </c>
      <c r="P120" s="94">
        <f>P111</f>
        <v>2500</v>
      </c>
      <c r="Q120" s="79">
        <f t="shared" si="47"/>
        <v>80</v>
      </c>
      <c r="R120" s="280">
        <f>R111</f>
        <v>2500</v>
      </c>
      <c r="S120" s="269">
        <f t="shared" si="48"/>
        <v>80</v>
      </c>
      <c r="T120" s="280">
        <f>T111</f>
        <v>2500</v>
      </c>
      <c r="U120" s="269">
        <f t="shared" si="49"/>
        <v>80</v>
      </c>
    </row>
    <row r="121" spans="1:21" ht="18.75" customHeight="1">
      <c r="A121" s="499" t="s">
        <v>53</v>
      </c>
      <c r="B121" s="217"/>
      <c r="C121" s="217"/>
      <c r="D121" s="399" t="s">
        <v>44</v>
      </c>
      <c r="E121" s="201">
        <v>0.016</v>
      </c>
      <c r="F121" s="128">
        <f>F111</f>
        <v>2500</v>
      </c>
      <c r="G121" s="124">
        <f t="shared" si="50"/>
        <v>40</v>
      </c>
      <c r="H121" s="128">
        <f>H111</f>
        <v>3000</v>
      </c>
      <c r="I121" s="124">
        <f t="shared" si="44"/>
        <v>48</v>
      </c>
      <c r="J121" s="38">
        <f>J111</f>
        <v>3500</v>
      </c>
      <c r="K121" s="41">
        <f t="shared" si="45"/>
        <v>56</v>
      </c>
      <c r="L121" s="380"/>
      <c r="M121" s="201">
        <v>0.016</v>
      </c>
      <c r="N121" s="94">
        <f>N111</f>
        <v>1500</v>
      </c>
      <c r="O121" s="79">
        <f t="shared" si="46"/>
        <v>24</v>
      </c>
      <c r="P121" s="94">
        <f>P111</f>
        <v>2500</v>
      </c>
      <c r="Q121" s="79">
        <f t="shared" si="47"/>
        <v>40</v>
      </c>
      <c r="R121" s="280">
        <f>R111</f>
        <v>2500</v>
      </c>
      <c r="S121" s="269">
        <f t="shared" si="48"/>
        <v>40</v>
      </c>
      <c r="T121" s="280">
        <f>T111</f>
        <v>2500</v>
      </c>
      <c r="U121" s="269">
        <f t="shared" si="49"/>
        <v>40</v>
      </c>
    </row>
    <row r="122" spans="1:21" ht="18.75" customHeight="1">
      <c r="A122" s="495" t="s">
        <v>54</v>
      </c>
      <c r="B122" s="217"/>
      <c r="C122" s="217"/>
      <c r="D122" s="403" t="s">
        <v>42</v>
      </c>
      <c r="E122" s="122">
        <v>0.5</v>
      </c>
      <c r="F122" s="127">
        <f>(SUM(G112:G121)+181)</f>
        <v>647.04</v>
      </c>
      <c r="G122" s="124"/>
      <c r="H122" s="128">
        <f>(SUM(I112:I121)+181)</f>
        <v>625.78</v>
      </c>
      <c r="I122" s="124"/>
      <c r="J122" s="38">
        <f>(SUM(K112:K121)+181)</f>
        <v>758.24</v>
      </c>
      <c r="K122" s="41"/>
      <c r="L122" s="380"/>
      <c r="M122" s="90">
        <v>0.5</v>
      </c>
      <c r="N122" s="93">
        <f>(SUM(O112:O121)+181)</f>
        <v>552.74</v>
      </c>
      <c r="O122" s="91"/>
      <c r="P122" s="94">
        <f>(SUM(Q112:Q121)+181)</f>
        <v>565.74</v>
      </c>
      <c r="Q122" s="91"/>
      <c r="R122" s="280">
        <f>(SUM(S112:S121)+181)</f>
        <v>565.74</v>
      </c>
      <c r="S122" s="279"/>
      <c r="T122" s="280">
        <f>(SUM(U112:U121)+181)</f>
        <v>565.74</v>
      </c>
      <c r="U122" s="269"/>
    </row>
    <row r="123" spans="1:21" ht="18.75" customHeight="1" thickBot="1">
      <c r="A123" s="499" t="s">
        <v>56</v>
      </c>
      <c r="B123" s="217"/>
      <c r="C123" s="217"/>
      <c r="D123" s="399" t="s">
        <v>42</v>
      </c>
      <c r="E123" s="122">
        <v>0.05</v>
      </c>
      <c r="F123" s="127">
        <f>+E122*F122</f>
        <v>323.52</v>
      </c>
      <c r="G123" s="124">
        <f t="shared" si="50"/>
        <v>16.176</v>
      </c>
      <c r="H123" s="128">
        <f>+E122*H122</f>
        <v>312.89</v>
      </c>
      <c r="I123" s="124">
        <f>$E123*H123</f>
        <v>15.6445</v>
      </c>
      <c r="J123" s="38">
        <f>+E122*J122</f>
        <v>379.12</v>
      </c>
      <c r="K123" s="41">
        <f t="shared" si="45"/>
        <v>18.956</v>
      </c>
      <c r="L123" s="380"/>
      <c r="M123" s="90">
        <v>0.05</v>
      </c>
      <c r="N123" s="93">
        <f>+M122*N122</f>
        <v>276.37</v>
      </c>
      <c r="O123" s="91">
        <f>M123*N123</f>
        <v>13.8185</v>
      </c>
      <c r="P123" s="94">
        <f>+M122*P122</f>
        <v>282.87</v>
      </c>
      <c r="Q123" s="91">
        <f>$E123*P123</f>
        <v>14.143500000000001</v>
      </c>
      <c r="R123" s="280">
        <f>+M122*R122</f>
        <v>282.87</v>
      </c>
      <c r="S123" s="279">
        <f>$E123*R123</f>
        <v>14.143500000000001</v>
      </c>
      <c r="T123" s="272">
        <f>+M122*T122</f>
        <v>282.87</v>
      </c>
      <c r="U123" s="269">
        <f t="shared" si="49"/>
        <v>14.143500000000001</v>
      </c>
    </row>
    <row r="124" spans="1:21" ht="18.75" customHeight="1" thickBot="1">
      <c r="A124" s="160" t="s">
        <v>59</v>
      </c>
      <c r="B124" s="214"/>
      <c r="C124" s="214"/>
      <c r="D124" s="405"/>
      <c r="E124" s="218"/>
      <c r="F124" s="167"/>
      <c r="G124" s="145">
        <f>SUM(G112:G123)</f>
        <v>482.216</v>
      </c>
      <c r="H124" s="168"/>
      <c r="I124" s="145">
        <f>SUM(I112:I123)</f>
        <v>460.42449999999997</v>
      </c>
      <c r="J124" s="367"/>
      <c r="K124" s="367">
        <f>SUM(K112:K123)</f>
        <v>596.196</v>
      </c>
      <c r="L124" s="379"/>
      <c r="M124" s="219"/>
      <c r="N124" s="169"/>
      <c r="O124" s="149">
        <f>SUM(O112:O123)</f>
        <v>385.5585</v>
      </c>
      <c r="P124" s="170"/>
      <c r="Q124" s="149">
        <f>SUM(Q112:Q123)</f>
        <v>398.8835</v>
      </c>
      <c r="R124" s="436"/>
      <c r="S124" s="437">
        <f>SUM(S112:S123)</f>
        <v>398.8835</v>
      </c>
      <c r="T124" s="436"/>
      <c r="U124" s="437">
        <f>SUM(U112:U123)</f>
        <v>398.8835</v>
      </c>
    </row>
    <row r="125" spans="1:21" ht="18.75" customHeight="1">
      <c r="A125" s="220"/>
      <c r="B125" s="217"/>
      <c r="C125" s="217"/>
      <c r="D125" s="407" t="s">
        <v>39</v>
      </c>
      <c r="E125" s="42" t="s">
        <v>40</v>
      </c>
      <c r="F125" s="58" t="s">
        <v>41</v>
      </c>
      <c r="G125" s="59" t="s">
        <v>42</v>
      </c>
      <c r="H125" s="60" t="s">
        <v>43</v>
      </c>
      <c r="I125" s="59" t="s">
        <v>42</v>
      </c>
      <c r="J125" s="61" t="s">
        <v>41</v>
      </c>
      <c r="K125" s="64" t="s">
        <v>42</v>
      </c>
      <c r="L125" s="385"/>
      <c r="M125" s="217"/>
      <c r="N125" s="220"/>
      <c r="O125" s="217"/>
      <c r="P125" s="217"/>
      <c r="Q125" s="388"/>
      <c r="R125" s="440"/>
      <c r="S125" s="441"/>
      <c r="T125" s="440"/>
      <c r="U125" s="441"/>
    </row>
    <row r="126" spans="1:21" ht="18.75" customHeight="1">
      <c r="A126" s="500" t="s">
        <v>94</v>
      </c>
      <c r="B126" s="454"/>
      <c r="C126" s="454"/>
      <c r="D126" s="462" t="s">
        <v>44</v>
      </c>
      <c r="E126" s="471"/>
      <c r="F126" s="472">
        <v>2500</v>
      </c>
      <c r="G126" s="472"/>
      <c r="H126" s="472">
        <v>3000</v>
      </c>
      <c r="I126" s="472"/>
      <c r="J126" s="472">
        <v>3500</v>
      </c>
      <c r="K126" s="472"/>
      <c r="L126" s="473"/>
      <c r="M126" s="471"/>
      <c r="N126" s="472">
        <v>1600</v>
      </c>
      <c r="O126" s="472"/>
      <c r="P126" s="472">
        <f>'B-alue'!D68</f>
        <v>2500</v>
      </c>
      <c r="Q126" s="472"/>
      <c r="R126" s="472">
        <f>'B-alue'!D29</f>
        <v>2500</v>
      </c>
      <c r="S126" s="501"/>
      <c r="T126" s="472">
        <f>'B-alue'!D46</f>
        <v>2500</v>
      </c>
      <c r="U126" s="501"/>
    </row>
    <row r="127" spans="1:21" ht="18.75" customHeight="1">
      <c r="A127" s="499" t="s">
        <v>33</v>
      </c>
      <c r="B127" s="217"/>
      <c r="C127" s="217"/>
      <c r="D127" s="408"/>
      <c r="E127" s="362"/>
      <c r="F127" s="132"/>
      <c r="G127" s="112"/>
      <c r="H127" s="133"/>
      <c r="I127" s="112"/>
      <c r="J127" s="45"/>
      <c r="K127" s="45"/>
      <c r="L127" s="380"/>
      <c r="M127" s="386"/>
      <c r="N127" s="99"/>
      <c r="O127" s="79"/>
      <c r="P127" s="100"/>
      <c r="Q127" s="79"/>
      <c r="R127" s="286"/>
      <c r="S127" s="269"/>
      <c r="T127" s="286"/>
      <c r="U127" s="269"/>
    </row>
    <row r="128" spans="1:21" ht="18.75" customHeight="1">
      <c r="A128" s="499" t="s">
        <v>90</v>
      </c>
      <c r="B128" s="217"/>
      <c r="C128" s="217"/>
      <c r="D128" s="399" t="s">
        <v>44</v>
      </c>
      <c r="E128" s="231">
        <v>0</v>
      </c>
      <c r="F128" s="134">
        <v>0</v>
      </c>
      <c r="G128" s="134">
        <f>$E128*F128</f>
        <v>0</v>
      </c>
      <c r="H128" s="199">
        <v>0</v>
      </c>
      <c r="I128" s="124">
        <f aca="true" t="shared" si="51" ref="I128:I136">$E128*H128</f>
        <v>0</v>
      </c>
      <c r="J128" s="104">
        <v>0</v>
      </c>
      <c r="K128" s="104">
        <f aca="true" t="shared" si="52" ref="K128:K136">$E128*J128</f>
        <v>0</v>
      </c>
      <c r="L128" s="380"/>
      <c r="M128" s="231">
        <v>0</v>
      </c>
      <c r="N128" s="81">
        <v>0</v>
      </c>
      <c r="O128" s="98">
        <f aca="true" t="shared" si="53" ref="O128:O136">M128*N128</f>
        <v>0</v>
      </c>
      <c r="P128" s="199">
        <v>0</v>
      </c>
      <c r="Q128" s="79">
        <f aca="true" t="shared" si="54" ref="Q128:Q136">M128*P128</f>
        <v>0</v>
      </c>
      <c r="R128" s="375">
        <v>0</v>
      </c>
      <c r="S128" s="269">
        <f aca="true" t="shared" si="55" ref="S128:S136">M128*R128</f>
        <v>0</v>
      </c>
      <c r="T128" s="375">
        <v>0</v>
      </c>
      <c r="U128" s="269">
        <f aca="true" t="shared" si="56" ref="U128:U138">M128*T128</f>
        <v>0</v>
      </c>
    </row>
    <row r="129" spans="1:21" ht="18.75" customHeight="1">
      <c r="A129" s="499" t="s">
        <v>94</v>
      </c>
      <c r="B129" s="217"/>
      <c r="C129" s="217"/>
      <c r="D129" s="399" t="s">
        <v>44</v>
      </c>
      <c r="E129" s="231">
        <v>0.44</v>
      </c>
      <c r="F129" s="115">
        <v>220</v>
      </c>
      <c r="G129" s="134">
        <f>$E129*F129</f>
        <v>96.8</v>
      </c>
      <c r="H129" s="200">
        <v>220</v>
      </c>
      <c r="I129" s="124">
        <f t="shared" si="51"/>
        <v>96.8</v>
      </c>
      <c r="J129" s="45">
        <v>220</v>
      </c>
      <c r="K129" s="104">
        <f t="shared" si="52"/>
        <v>96.8</v>
      </c>
      <c r="L129" s="380"/>
      <c r="M129" s="231">
        <v>0.51</v>
      </c>
      <c r="N129" s="98">
        <v>250</v>
      </c>
      <c r="O129" s="98">
        <f t="shared" si="53"/>
        <v>127.5</v>
      </c>
      <c r="P129" s="200">
        <v>250</v>
      </c>
      <c r="Q129" s="79">
        <f t="shared" si="54"/>
        <v>127.5</v>
      </c>
      <c r="R129" s="376">
        <v>250</v>
      </c>
      <c r="S129" s="269">
        <f t="shared" si="55"/>
        <v>127.5</v>
      </c>
      <c r="T129" s="376">
        <v>250</v>
      </c>
      <c r="U129" s="269">
        <f t="shared" si="56"/>
        <v>127.5</v>
      </c>
    </row>
    <row r="130" spans="1:21" ht="18.75" customHeight="1">
      <c r="A130" s="499" t="s">
        <v>92</v>
      </c>
      <c r="B130" s="217"/>
      <c r="C130" s="217"/>
      <c r="D130" s="399" t="s">
        <v>11</v>
      </c>
      <c r="E130" s="231">
        <v>83</v>
      </c>
      <c r="F130" s="135">
        <v>0</v>
      </c>
      <c r="G130" s="134">
        <f>E130*F130</f>
        <v>0</v>
      </c>
      <c r="H130" s="224">
        <v>1</v>
      </c>
      <c r="I130" s="124">
        <f t="shared" si="51"/>
        <v>83</v>
      </c>
      <c r="J130" s="45">
        <v>0</v>
      </c>
      <c r="K130" s="104">
        <f t="shared" si="52"/>
        <v>0</v>
      </c>
      <c r="L130" s="380" t="s">
        <v>80</v>
      </c>
      <c r="M130" s="202">
        <v>7.5</v>
      </c>
      <c r="N130" s="92">
        <v>1</v>
      </c>
      <c r="O130" s="79">
        <f t="shared" si="53"/>
        <v>7.5</v>
      </c>
      <c r="P130" s="83">
        <v>1</v>
      </c>
      <c r="Q130" s="79">
        <f t="shared" si="54"/>
        <v>7.5</v>
      </c>
      <c r="R130" s="270">
        <v>1</v>
      </c>
      <c r="S130" s="269">
        <f t="shared" si="55"/>
        <v>7.5</v>
      </c>
      <c r="T130" s="270">
        <v>1</v>
      </c>
      <c r="U130" s="269">
        <f t="shared" si="56"/>
        <v>7.5</v>
      </c>
    </row>
    <row r="131" spans="1:34" s="32" customFormat="1" ht="18.75" customHeight="1">
      <c r="A131" s="539" t="s">
        <v>165</v>
      </c>
      <c r="B131" s="217"/>
      <c r="C131" s="217"/>
      <c r="D131" s="399" t="s">
        <v>44</v>
      </c>
      <c r="E131" s="211">
        <f>E2</f>
        <v>0.412</v>
      </c>
      <c r="F131" s="115">
        <v>0</v>
      </c>
      <c r="G131" s="134">
        <f>$E131*F131</f>
        <v>0</v>
      </c>
      <c r="H131" s="200">
        <v>167</v>
      </c>
      <c r="I131" s="124">
        <f t="shared" si="51"/>
        <v>68.804</v>
      </c>
      <c r="J131" s="45">
        <v>150</v>
      </c>
      <c r="K131" s="104">
        <f t="shared" si="52"/>
        <v>61.8</v>
      </c>
      <c r="L131" s="387" t="s">
        <v>149</v>
      </c>
      <c r="M131" s="202">
        <v>0.1</v>
      </c>
      <c r="N131" s="92"/>
      <c r="O131" s="79">
        <f t="shared" si="53"/>
        <v>0</v>
      </c>
      <c r="P131" s="82">
        <v>0</v>
      </c>
      <c r="Q131" s="79">
        <f t="shared" si="54"/>
        <v>0</v>
      </c>
      <c r="R131" s="278">
        <v>0</v>
      </c>
      <c r="S131" s="269">
        <f t="shared" si="55"/>
        <v>0</v>
      </c>
      <c r="T131" s="278">
        <v>0</v>
      </c>
      <c r="U131" s="269">
        <f t="shared" si="56"/>
        <v>0</v>
      </c>
      <c r="V131"/>
      <c r="W131" s="7"/>
      <c r="X131" s="7"/>
      <c r="Y131" s="7"/>
      <c r="Z131" s="7"/>
      <c r="AA131" s="7"/>
      <c r="AB131" s="56"/>
      <c r="AC131" s="7"/>
      <c r="AD131" s="52"/>
      <c r="AE131" s="7"/>
      <c r="AF131" s="7"/>
      <c r="AG131" s="7"/>
      <c r="AH131"/>
    </row>
    <row r="132" spans="1:21" ht="18.75" customHeight="1">
      <c r="A132" s="499" t="s">
        <v>93</v>
      </c>
      <c r="B132" s="217"/>
      <c r="C132" s="217"/>
      <c r="D132" s="399"/>
      <c r="E132" s="232">
        <v>44</v>
      </c>
      <c r="F132" s="115">
        <v>0</v>
      </c>
      <c r="G132" s="124">
        <f>$E132*F132</f>
        <v>0</v>
      </c>
      <c r="H132" s="136">
        <v>0.25</v>
      </c>
      <c r="I132" s="124">
        <f t="shared" si="51"/>
        <v>11</v>
      </c>
      <c r="J132" s="42">
        <v>0.5</v>
      </c>
      <c r="K132" s="104">
        <f t="shared" si="52"/>
        <v>22</v>
      </c>
      <c r="L132" s="380"/>
      <c r="M132" s="232">
        <v>44</v>
      </c>
      <c r="N132" s="78">
        <v>0</v>
      </c>
      <c r="O132" s="79">
        <f t="shared" si="53"/>
        <v>0</v>
      </c>
      <c r="P132" s="80">
        <v>0</v>
      </c>
      <c r="Q132" s="79">
        <f t="shared" si="54"/>
        <v>0</v>
      </c>
      <c r="R132" s="285">
        <v>0</v>
      </c>
      <c r="S132" s="269">
        <f t="shared" si="55"/>
        <v>0</v>
      </c>
      <c r="T132" s="285">
        <v>0</v>
      </c>
      <c r="U132" s="269">
        <f t="shared" si="56"/>
        <v>0</v>
      </c>
    </row>
    <row r="133" spans="1:21" ht="15.75">
      <c r="A133" s="495" t="s">
        <v>64</v>
      </c>
      <c r="B133" s="217"/>
      <c r="C133" s="217"/>
      <c r="D133" s="399" t="s">
        <v>50</v>
      </c>
      <c r="E133" s="224">
        <v>7.6</v>
      </c>
      <c r="F133" s="115">
        <v>8</v>
      </c>
      <c r="G133" s="124">
        <f>E133*F133</f>
        <v>60.8</v>
      </c>
      <c r="H133" s="133">
        <v>8</v>
      </c>
      <c r="I133" s="124">
        <f t="shared" si="51"/>
        <v>60.8</v>
      </c>
      <c r="J133" s="45">
        <v>8</v>
      </c>
      <c r="K133" s="104">
        <f t="shared" si="52"/>
        <v>60.8</v>
      </c>
      <c r="L133" s="380"/>
      <c r="M133" s="224">
        <v>7.6</v>
      </c>
      <c r="N133" s="98">
        <v>8</v>
      </c>
      <c r="O133" s="79">
        <f t="shared" si="53"/>
        <v>60.8</v>
      </c>
      <c r="P133" s="100">
        <v>8</v>
      </c>
      <c r="Q133" s="79">
        <f t="shared" si="54"/>
        <v>60.8</v>
      </c>
      <c r="R133" s="286">
        <v>8</v>
      </c>
      <c r="S133" s="269">
        <f t="shared" si="55"/>
        <v>60.8</v>
      </c>
      <c r="T133" s="286">
        <v>8</v>
      </c>
      <c r="U133" s="269">
        <f t="shared" si="56"/>
        <v>60.8</v>
      </c>
    </row>
    <row r="134" spans="1:21" ht="20.25" customHeight="1">
      <c r="A134" s="495" t="s">
        <v>65</v>
      </c>
      <c r="B134" s="217"/>
      <c r="C134" s="217"/>
      <c r="D134" s="399" t="s">
        <v>50</v>
      </c>
      <c r="E134" s="224">
        <v>7.6</v>
      </c>
      <c r="F134" s="135">
        <v>1.9</v>
      </c>
      <c r="G134" s="124">
        <f>E134*F134</f>
        <v>14.44</v>
      </c>
      <c r="H134" s="137">
        <v>1.9</v>
      </c>
      <c r="I134" s="124">
        <f t="shared" si="51"/>
        <v>14.44</v>
      </c>
      <c r="J134" s="105">
        <v>1.9</v>
      </c>
      <c r="K134" s="104">
        <f t="shared" si="52"/>
        <v>14.44</v>
      </c>
      <c r="L134" s="380"/>
      <c r="M134" s="224">
        <v>7.6</v>
      </c>
      <c r="N134" s="106">
        <v>1.9</v>
      </c>
      <c r="O134" s="79">
        <f t="shared" si="53"/>
        <v>14.44</v>
      </c>
      <c r="P134" s="101">
        <v>1.9</v>
      </c>
      <c r="Q134" s="79">
        <f t="shared" si="54"/>
        <v>14.44</v>
      </c>
      <c r="R134" s="377">
        <v>1.9</v>
      </c>
      <c r="S134" s="269">
        <f t="shared" si="55"/>
        <v>14.44</v>
      </c>
      <c r="T134" s="377">
        <v>1.9</v>
      </c>
      <c r="U134" s="269">
        <f t="shared" si="56"/>
        <v>14.44</v>
      </c>
    </row>
    <row r="135" spans="1:21" ht="15.75">
      <c r="A135" s="495" t="s">
        <v>66</v>
      </c>
      <c r="B135" s="217"/>
      <c r="C135" s="217"/>
      <c r="D135" s="399" t="s">
        <v>44</v>
      </c>
      <c r="E135" s="201">
        <v>0.032</v>
      </c>
      <c r="F135" s="128">
        <f>F126</f>
        <v>2500</v>
      </c>
      <c r="G135" s="124">
        <f>E135*F135</f>
        <v>80</v>
      </c>
      <c r="H135" s="128">
        <f>H126</f>
        <v>3000</v>
      </c>
      <c r="I135" s="124">
        <f t="shared" si="51"/>
        <v>96</v>
      </c>
      <c r="J135" s="65">
        <f>J126</f>
        <v>3500</v>
      </c>
      <c r="K135" s="104">
        <f t="shared" si="52"/>
        <v>112</v>
      </c>
      <c r="L135" s="380"/>
      <c r="M135" s="201">
        <v>0.032</v>
      </c>
      <c r="N135" s="94">
        <f>N126</f>
        <v>1600</v>
      </c>
      <c r="O135" s="79">
        <f t="shared" si="53"/>
        <v>51.2</v>
      </c>
      <c r="P135" s="94">
        <f>P126</f>
        <v>2500</v>
      </c>
      <c r="Q135" s="79">
        <f t="shared" si="54"/>
        <v>80</v>
      </c>
      <c r="R135" s="280">
        <f>R126</f>
        <v>2500</v>
      </c>
      <c r="S135" s="269">
        <f t="shared" si="55"/>
        <v>80</v>
      </c>
      <c r="T135" s="280">
        <f>T126</f>
        <v>2500</v>
      </c>
      <c r="U135" s="269">
        <f t="shared" si="56"/>
        <v>80</v>
      </c>
    </row>
    <row r="136" spans="1:21" ht="15.75">
      <c r="A136" s="499" t="s">
        <v>53</v>
      </c>
      <c r="B136" s="217"/>
      <c r="C136" s="217"/>
      <c r="D136" s="399" t="s">
        <v>44</v>
      </c>
      <c r="E136" s="201">
        <v>0.016</v>
      </c>
      <c r="F136" s="128">
        <f>F126</f>
        <v>2500</v>
      </c>
      <c r="G136" s="124">
        <f>E136*F136</f>
        <v>40</v>
      </c>
      <c r="H136" s="128">
        <f>H126</f>
        <v>3000</v>
      </c>
      <c r="I136" s="124">
        <f t="shared" si="51"/>
        <v>48</v>
      </c>
      <c r="J136" s="65">
        <f>J126</f>
        <v>3500</v>
      </c>
      <c r="K136" s="104">
        <f t="shared" si="52"/>
        <v>56</v>
      </c>
      <c r="L136" s="380"/>
      <c r="M136" s="201">
        <v>0.016</v>
      </c>
      <c r="N136" s="94">
        <f>N126</f>
        <v>1600</v>
      </c>
      <c r="O136" s="79">
        <f t="shared" si="53"/>
        <v>25.6</v>
      </c>
      <c r="P136" s="94">
        <f>P126</f>
        <v>2500</v>
      </c>
      <c r="Q136" s="79">
        <f t="shared" si="54"/>
        <v>40</v>
      </c>
      <c r="R136" s="280">
        <f>R126</f>
        <v>2500</v>
      </c>
      <c r="S136" s="269">
        <f t="shared" si="55"/>
        <v>40</v>
      </c>
      <c r="T136" s="280">
        <f>T126</f>
        <v>2500</v>
      </c>
      <c r="U136" s="269">
        <f t="shared" si="56"/>
        <v>40</v>
      </c>
    </row>
    <row r="137" spans="1:21" ht="15.75">
      <c r="A137" s="495" t="s">
        <v>54</v>
      </c>
      <c r="B137" s="217"/>
      <c r="C137" s="217"/>
      <c r="D137" s="403" t="s">
        <v>42</v>
      </c>
      <c r="E137" s="122">
        <v>0.5</v>
      </c>
      <c r="F137" s="127">
        <f>(SUM(G127:G136)+181)</f>
        <v>473.03999999999996</v>
      </c>
      <c r="G137" s="124"/>
      <c r="H137" s="128">
        <f>(SUM(I127:I136)+181)</f>
        <v>659.844</v>
      </c>
      <c r="I137" s="124"/>
      <c r="J137" s="65">
        <f>(SUM(K127:K136)+181)</f>
        <v>604.8399999999999</v>
      </c>
      <c r="K137" s="104"/>
      <c r="L137" s="380"/>
      <c r="M137" s="90">
        <v>0.5</v>
      </c>
      <c r="N137" s="93">
        <f>(SUM(O127:O136)+181)</f>
        <v>468.04</v>
      </c>
      <c r="O137" s="91"/>
      <c r="P137" s="94">
        <f>(SUM(Q127:Q136)+181)</f>
        <v>511.24</v>
      </c>
      <c r="Q137" s="91"/>
      <c r="R137" s="280">
        <f>(SUM(S127:S136)+181)</f>
        <v>511.24</v>
      </c>
      <c r="S137" s="279"/>
      <c r="T137" s="280">
        <f>(SUM(U127:U136)+181)</f>
        <v>511.24</v>
      </c>
      <c r="U137" s="269"/>
    </row>
    <row r="138" spans="1:21" ht="19.5" thickBot="1">
      <c r="A138" s="499" t="s">
        <v>56</v>
      </c>
      <c r="B138" s="217"/>
      <c r="C138" s="217"/>
      <c r="D138" s="399" t="s">
        <v>42</v>
      </c>
      <c r="E138" s="122">
        <v>0.05</v>
      </c>
      <c r="F138" s="127">
        <f>+E137*F137</f>
        <v>236.51999999999998</v>
      </c>
      <c r="G138" s="124">
        <f>E138*F138</f>
        <v>11.826</v>
      </c>
      <c r="H138" s="128">
        <f>+E137*H137</f>
        <v>329.922</v>
      </c>
      <c r="I138" s="124">
        <f>$E138*H138</f>
        <v>16.496100000000002</v>
      </c>
      <c r="J138" s="65">
        <f>+E137*J137</f>
        <v>302.41999999999996</v>
      </c>
      <c r="K138" s="104">
        <f>$E138*J138</f>
        <v>15.120999999999999</v>
      </c>
      <c r="L138" s="389"/>
      <c r="M138" s="90">
        <v>0.05</v>
      </c>
      <c r="N138" s="93">
        <f>+M137*N137</f>
        <v>234.02</v>
      </c>
      <c r="O138" s="91">
        <f>M138*N138</f>
        <v>11.701</v>
      </c>
      <c r="P138" s="94">
        <f>+M137*P137</f>
        <v>255.62</v>
      </c>
      <c r="Q138" s="91">
        <f>$E138*P138</f>
        <v>12.781</v>
      </c>
      <c r="R138" s="280">
        <f>+M137*R137</f>
        <v>255.62</v>
      </c>
      <c r="S138" s="279">
        <f>$E138*R138</f>
        <v>12.781</v>
      </c>
      <c r="T138" s="272">
        <f>+M137*T137</f>
        <v>255.62</v>
      </c>
      <c r="U138" s="269">
        <f t="shared" si="56"/>
        <v>12.781</v>
      </c>
    </row>
    <row r="139" spans="1:21" ht="18.75" thickBot="1">
      <c r="A139" s="160" t="s">
        <v>59</v>
      </c>
      <c r="B139" s="214"/>
      <c r="C139" s="214"/>
      <c r="D139" s="405"/>
      <c r="E139" s="218"/>
      <c r="F139" s="167"/>
      <c r="G139" s="145">
        <f>SUM(G127:G138)</f>
        <v>303.866</v>
      </c>
      <c r="H139" s="168"/>
      <c r="I139" s="145">
        <f>SUM(I127:I138)</f>
        <v>495.34010000000006</v>
      </c>
      <c r="J139" s="368"/>
      <c r="K139" s="368">
        <f>SUM(K127:K138)</f>
        <v>438.96099999999996</v>
      </c>
      <c r="L139" s="379"/>
      <c r="M139" s="219"/>
      <c r="N139" s="169"/>
      <c r="O139" s="149">
        <f>SUM(O127:O138)</f>
        <v>298.74100000000004</v>
      </c>
      <c r="P139" s="170"/>
      <c r="Q139" s="266">
        <f>SUM(Q127:Q138)</f>
        <v>343.021</v>
      </c>
      <c r="R139" s="448"/>
      <c r="S139" s="268">
        <f>SUM(S127:S138)</f>
        <v>343.021</v>
      </c>
      <c r="T139" s="448"/>
      <c r="U139" s="268">
        <f>SUM(U127:U138)</f>
        <v>343.021</v>
      </c>
    </row>
    <row r="140" spans="1:21" ht="15.75" customHeight="1">
      <c r="A140" s="220"/>
      <c r="B140" s="217"/>
      <c r="C140" s="217"/>
      <c r="D140" s="407" t="s">
        <v>39</v>
      </c>
      <c r="E140" s="42" t="s">
        <v>40</v>
      </c>
      <c r="F140" s="58" t="s">
        <v>41</v>
      </c>
      <c r="G140" s="59" t="s">
        <v>42</v>
      </c>
      <c r="H140" s="60" t="s">
        <v>43</v>
      </c>
      <c r="I140" s="59" t="s">
        <v>42</v>
      </c>
      <c r="J140" s="61" t="s">
        <v>41</v>
      </c>
      <c r="K140" s="64" t="s">
        <v>42</v>
      </c>
      <c r="L140" s="385"/>
      <c r="M140" s="42" t="s">
        <v>40</v>
      </c>
      <c r="N140" s="58" t="s">
        <v>41</v>
      </c>
      <c r="O140" s="59" t="s">
        <v>42</v>
      </c>
      <c r="P140" s="60" t="s">
        <v>43</v>
      </c>
      <c r="Q140" s="59" t="s">
        <v>42</v>
      </c>
      <c r="R140" s="61" t="s">
        <v>41</v>
      </c>
      <c r="S140" s="62" t="s">
        <v>42</v>
      </c>
      <c r="T140" s="61" t="s">
        <v>41</v>
      </c>
      <c r="U140" s="62" t="s">
        <v>42</v>
      </c>
    </row>
    <row r="141" spans="1:21" ht="18.75">
      <c r="A141" s="500" t="s">
        <v>144</v>
      </c>
      <c r="B141" s="454"/>
      <c r="C141" s="454"/>
      <c r="D141" s="462" t="s">
        <v>44</v>
      </c>
      <c r="E141" s="471"/>
      <c r="F141" s="472">
        <v>3000</v>
      </c>
      <c r="G141" s="472"/>
      <c r="H141" s="472">
        <v>4000</v>
      </c>
      <c r="I141" s="472"/>
      <c r="J141" s="472">
        <v>5000</v>
      </c>
      <c r="K141" s="472"/>
      <c r="L141" s="468"/>
      <c r="M141" s="471"/>
      <c r="N141" s="472">
        <v>2000</v>
      </c>
      <c r="O141" s="472"/>
      <c r="P141" s="472">
        <v>4000</v>
      </c>
      <c r="Q141" s="472"/>
      <c r="R141" s="472">
        <v>3000</v>
      </c>
      <c r="S141" s="501"/>
      <c r="T141" s="472">
        <f>'[2]C1-alue'!D46</f>
        <v>2500</v>
      </c>
      <c r="U141" s="501"/>
    </row>
    <row r="142" spans="1:21" ht="15.75">
      <c r="A142" s="499" t="s">
        <v>33</v>
      </c>
      <c r="B142" s="217"/>
      <c r="C142" s="217"/>
      <c r="D142" s="408"/>
      <c r="E142" s="362"/>
      <c r="F142" s="132"/>
      <c r="G142" s="112"/>
      <c r="H142" s="133"/>
      <c r="I142" s="112"/>
      <c r="J142" s="35"/>
      <c r="K142" s="35"/>
      <c r="L142" s="380"/>
      <c r="M142" s="386"/>
      <c r="N142" s="99"/>
      <c r="O142" s="79"/>
      <c r="P142" s="100"/>
      <c r="Q142" s="79"/>
      <c r="R142" s="286"/>
      <c r="S142" s="269"/>
      <c r="T142" s="286"/>
      <c r="U142" s="269"/>
    </row>
    <row r="143" spans="1:21" ht="15.75">
      <c r="A143" s="499" t="s">
        <v>146</v>
      </c>
      <c r="B143" s="217"/>
      <c r="C143" s="217"/>
      <c r="D143" s="399" t="s">
        <v>44</v>
      </c>
      <c r="E143" s="231">
        <v>0.28</v>
      </c>
      <c r="F143" s="134">
        <v>120</v>
      </c>
      <c r="G143" s="134">
        <f>$E143*F143</f>
        <v>33.6</v>
      </c>
      <c r="H143" s="199">
        <v>120</v>
      </c>
      <c r="I143" s="124">
        <f aca="true" t="shared" si="57" ref="I143:I151">$E143*H143</f>
        <v>33.6</v>
      </c>
      <c r="J143" s="41">
        <v>120</v>
      </c>
      <c r="K143" s="41">
        <f aca="true" t="shared" si="58" ref="K143:K151">$E143*J143</f>
        <v>33.6</v>
      </c>
      <c r="L143" s="380"/>
      <c r="M143" s="231">
        <v>0.35</v>
      </c>
      <c r="N143" s="81">
        <v>120</v>
      </c>
      <c r="O143" s="98">
        <f aca="true" t="shared" si="59" ref="O143:O151">M143*N143</f>
        <v>42</v>
      </c>
      <c r="P143" s="199">
        <v>70</v>
      </c>
      <c r="Q143" s="79">
        <f aca="true" t="shared" si="60" ref="Q143:Q151">M143*P143</f>
        <v>24.5</v>
      </c>
      <c r="R143" s="375">
        <v>120</v>
      </c>
      <c r="S143" s="269">
        <f aca="true" t="shared" si="61" ref="S143:S151">M143*R143</f>
        <v>42</v>
      </c>
      <c r="T143" s="375">
        <v>120</v>
      </c>
      <c r="U143" s="269">
        <f aca="true" t="shared" si="62" ref="U143:U153">M143*T143</f>
        <v>42</v>
      </c>
    </row>
    <row r="144" spans="1:21" ht="15.75">
      <c r="A144" s="499" t="s">
        <v>147</v>
      </c>
      <c r="B144" s="217"/>
      <c r="C144" s="217"/>
      <c r="D144" s="399" t="s">
        <v>44</v>
      </c>
      <c r="E144" s="231">
        <v>0.42</v>
      </c>
      <c r="F144" s="115">
        <v>150</v>
      </c>
      <c r="G144" s="134">
        <f>$E144*F144</f>
        <v>63</v>
      </c>
      <c r="H144" s="200">
        <v>150</v>
      </c>
      <c r="I144" s="124">
        <f t="shared" si="57"/>
        <v>63</v>
      </c>
      <c r="J144" s="35">
        <v>150</v>
      </c>
      <c r="K144" s="41">
        <f t="shared" si="58"/>
        <v>63</v>
      </c>
      <c r="L144" s="380"/>
      <c r="M144" s="231">
        <v>0.52</v>
      </c>
      <c r="N144" s="98">
        <v>150</v>
      </c>
      <c r="O144" s="98">
        <f t="shared" si="59"/>
        <v>78</v>
      </c>
      <c r="P144" s="200">
        <v>230</v>
      </c>
      <c r="Q144" s="79">
        <f t="shared" si="60"/>
        <v>119.60000000000001</v>
      </c>
      <c r="R144" s="376">
        <v>150</v>
      </c>
      <c r="S144" s="269">
        <f t="shared" si="61"/>
        <v>78</v>
      </c>
      <c r="T144" s="376">
        <v>150</v>
      </c>
      <c r="U144" s="269">
        <f t="shared" si="62"/>
        <v>78</v>
      </c>
    </row>
    <row r="145" spans="1:21" ht="15.75">
      <c r="A145" s="499" t="s">
        <v>92</v>
      </c>
      <c r="B145" s="217"/>
      <c r="C145" s="217"/>
      <c r="D145" s="399" t="s">
        <v>11</v>
      </c>
      <c r="E145" s="231">
        <v>29</v>
      </c>
      <c r="F145" s="135">
        <v>1</v>
      </c>
      <c r="G145" s="134">
        <f>E145*F145</f>
        <v>29</v>
      </c>
      <c r="H145" s="224">
        <v>1</v>
      </c>
      <c r="I145" s="124">
        <f t="shared" si="57"/>
        <v>29</v>
      </c>
      <c r="J145" s="35">
        <v>1</v>
      </c>
      <c r="K145" s="41">
        <f t="shared" si="58"/>
        <v>29</v>
      </c>
      <c r="L145" s="380" t="s">
        <v>80</v>
      </c>
      <c r="M145" s="202">
        <v>7.5</v>
      </c>
      <c r="N145" s="92">
        <v>1</v>
      </c>
      <c r="O145" s="79">
        <f t="shared" si="59"/>
        <v>7.5</v>
      </c>
      <c r="P145" s="83">
        <v>1</v>
      </c>
      <c r="Q145" s="79">
        <f t="shared" si="60"/>
        <v>7.5</v>
      </c>
      <c r="R145" s="270">
        <v>1</v>
      </c>
      <c r="S145" s="269">
        <f t="shared" si="61"/>
        <v>7.5</v>
      </c>
      <c r="T145" s="270">
        <v>1</v>
      </c>
      <c r="U145" s="269">
        <f t="shared" si="62"/>
        <v>7.5</v>
      </c>
    </row>
    <row r="146" spans="1:21" ht="15.75">
      <c r="A146" s="539" t="s">
        <v>165</v>
      </c>
      <c r="B146" s="217"/>
      <c r="C146" s="217"/>
      <c r="D146" s="399" t="s">
        <v>44</v>
      </c>
      <c r="E146" s="211">
        <f>E2</f>
        <v>0.412</v>
      </c>
      <c r="F146" s="115">
        <v>300</v>
      </c>
      <c r="G146" s="134">
        <f>$E146*F146</f>
        <v>123.6</v>
      </c>
      <c r="H146" s="200">
        <v>333</v>
      </c>
      <c r="I146" s="124">
        <f t="shared" si="57"/>
        <v>137.196</v>
      </c>
      <c r="J146" s="35">
        <v>400</v>
      </c>
      <c r="K146" s="41">
        <f t="shared" si="58"/>
        <v>164.79999999999998</v>
      </c>
      <c r="L146" s="387" t="s">
        <v>149</v>
      </c>
      <c r="M146" s="202">
        <v>0.1</v>
      </c>
      <c r="N146" s="92">
        <v>0</v>
      </c>
      <c r="O146" s="79">
        <f t="shared" si="59"/>
        <v>0</v>
      </c>
      <c r="P146" s="83">
        <v>0</v>
      </c>
      <c r="Q146" s="79">
        <f t="shared" si="60"/>
        <v>0</v>
      </c>
      <c r="R146" s="270">
        <v>0</v>
      </c>
      <c r="S146" s="269">
        <f t="shared" si="61"/>
        <v>0</v>
      </c>
      <c r="T146" s="270">
        <v>0</v>
      </c>
      <c r="U146" s="269">
        <f t="shared" si="62"/>
        <v>0</v>
      </c>
    </row>
    <row r="147" spans="1:21" ht="15.75">
      <c r="A147" s="499" t="s">
        <v>93</v>
      </c>
      <c r="B147" s="217"/>
      <c r="C147" s="217"/>
      <c r="D147" s="399"/>
      <c r="E147" s="232">
        <v>44</v>
      </c>
      <c r="F147" s="115">
        <v>0</v>
      </c>
      <c r="G147" s="124">
        <f>$E147*F147</f>
        <v>0</v>
      </c>
      <c r="H147" s="136">
        <v>0.25</v>
      </c>
      <c r="I147" s="124">
        <f t="shared" si="57"/>
        <v>11</v>
      </c>
      <c r="J147" s="40">
        <v>0.5</v>
      </c>
      <c r="K147" s="41">
        <f t="shared" si="58"/>
        <v>22</v>
      </c>
      <c r="L147" s="380"/>
      <c r="M147" s="232">
        <v>44</v>
      </c>
      <c r="N147" s="78">
        <v>0</v>
      </c>
      <c r="O147" s="79">
        <f t="shared" si="59"/>
        <v>0</v>
      </c>
      <c r="P147" s="80">
        <v>0</v>
      </c>
      <c r="Q147" s="79">
        <f t="shared" si="60"/>
        <v>0</v>
      </c>
      <c r="R147" s="285">
        <v>0.25</v>
      </c>
      <c r="S147" s="269">
        <f t="shared" si="61"/>
        <v>11</v>
      </c>
      <c r="T147" s="285">
        <v>0.25</v>
      </c>
      <c r="U147" s="269">
        <f t="shared" si="62"/>
        <v>11</v>
      </c>
    </row>
    <row r="148" spans="1:21" ht="15.75" customHeight="1">
      <c r="A148" s="495" t="s">
        <v>64</v>
      </c>
      <c r="B148" s="217"/>
      <c r="C148" s="217"/>
      <c r="D148" s="399" t="s">
        <v>50</v>
      </c>
      <c r="E148" s="224">
        <v>6</v>
      </c>
      <c r="F148" s="115">
        <v>8</v>
      </c>
      <c r="G148" s="124">
        <f>E148*F148</f>
        <v>48</v>
      </c>
      <c r="H148" s="133">
        <v>8</v>
      </c>
      <c r="I148" s="124">
        <f t="shared" si="57"/>
        <v>48</v>
      </c>
      <c r="J148" s="35">
        <v>8</v>
      </c>
      <c r="K148" s="41">
        <f t="shared" si="58"/>
        <v>48</v>
      </c>
      <c r="L148" s="380"/>
      <c r="M148" s="224">
        <v>6</v>
      </c>
      <c r="N148" s="98">
        <v>8</v>
      </c>
      <c r="O148" s="79">
        <f t="shared" si="59"/>
        <v>48</v>
      </c>
      <c r="P148" s="100">
        <v>10</v>
      </c>
      <c r="Q148" s="79">
        <f t="shared" si="60"/>
        <v>60</v>
      </c>
      <c r="R148" s="286">
        <v>10</v>
      </c>
      <c r="S148" s="269">
        <f t="shared" si="61"/>
        <v>60</v>
      </c>
      <c r="T148" s="286">
        <v>10</v>
      </c>
      <c r="U148" s="269">
        <f t="shared" si="62"/>
        <v>60</v>
      </c>
    </row>
    <row r="149" spans="1:21" ht="15.75">
      <c r="A149" s="495" t="s">
        <v>65</v>
      </c>
      <c r="B149" s="217"/>
      <c r="C149" s="217"/>
      <c r="D149" s="399" t="s">
        <v>50</v>
      </c>
      <c r="E149" s="224">
        <v>6</v>
      </c>
      <c r="F149" s="135">
        <v>1.9</v>
      </c>
      <c r="G149" s="124">
        <f>E149*F149</f>
        <v>11.399999999999999</v>
      </c>
      <c r="H149" s="137">
        <v>1.9</v>
      </c>
      <c r="I149" s="124">
        <f t="shared" si="57"/>
        <v>11.399999999999999</v>
      </c>
      <c r="J149" s="103">
        <v>1.9</v>
      </c>
      <c r="K149" s="41">
        <f t="shared" si="58"/>
        <v>11.399999999999999</v>
      </c>
      <c r="L149" s="380"/>
      <c r="M149" s="224">
        <v>6</v>
      </c>
      <c r="N149" s="106">
        <v>1.9</v>
      </c>
      <c r="O149" s="79">
        <f t="shared" si="59"/>
        <v>11.399999999999999</v>
      </c>
      <c r="P149" s="101">
        <v>1.9</v>
      </c>
      <c r="Q149" s="79">
        <f t="shared" si="60"/>
        <v>11.399999999999999</v>
      </c>
      <c r="R149" s="377">
        <v>1.9</v>
      </c>
      <c r="S149" s="269">
        <f t="shared" si="61"/>
        <v>11.399999999999999</v>
      </c>
      <c r="T149" s="377">
        <v>1.9</v>
      </c>
      <c r="U149" s="269">
        <f t="shared" si="62"/>
        <v>11.399999999999999</v>
      </c>
    </row>
    <row r="150" spans="1:21" ht="15.75">
      <c r="A150" s="495" t="s">
        <v>66</v>
      </c>
      <c r="B150" s="217"/>
      <c r="C150" s="217"/>
      <c r="D150" s="399" t="s">
        <v>44</v>
      </c>
      <c r="E150" s="201">
        <v>0.015</v>
      </c>
      <c r="F150" s="128">
        <f>F141</f>
        <v>3000</v>
      </c>
      <c r="G150" s="124">
        <f>E150*F150</f>
        <v>45</v>
      </c>
      <c r="H150" s="128">
        <f>H141</f>
        <v>4000</v>
      </c>
      <c r="I150" s="124">
        <f t="shared" si="57"/>
        <v>60</v>
      </c>
      <c r="J150" s="38">
        <f>J141</f>
        <v>5000</v>
      </c>
      <c r="K150" s="41">
        <f t="shared" si="58"/>
        <v>75</v>
      </c>
      <c r="L150" s="380"/>
      <c r="M150" s="201">
        <v>0.015</v>
      </c>
      <c r="N150" s="94">
        <f>N141</f>
        <v>2000</v>
      </c>
      <c r="O150" s="79">
        <f t="shared" si="59"/>
        <v>30</v>
      </c>
      <c r="P150" s="94">
        <f>P141</f>
        <v>4000</v>
      </c>
      <c r="Q150" s="79">
        <f t="shared" si="60"/>
        <v>60</v>
      </c>
      <c r="R150" s="280">
        <f>R141</f>
        <v>3000</v>
      </c>
      <c r="S150" s="269">
        <f t="shared" si="61"/>
        <v>45</v>
      </c>
      <c r="T150" s="280">
        <f>T141</f>
        <v>2500</v>
      </c>
      <c r="U150" s="269">
        <f t="shared" si="62"/>
        <v>37.5</v>
      </c>
    </row>
    <row r="151" spans="1:21" ht="15.75">
      <c r="A151" s="499" t="s">
        <v>53</v>
      </c>
      <c r="B151" s="217"/>
      <c r="C151" s="217"/>
      <c r="D151" s="399" t="s">
        <v>44</v>
      </c>
      <c r="E151" s="201">
        <v>0.016</v>
      </c>
      <c r="F151" s="128">
        <f>F141</f>
        <v>3000</v>
      </c>
      <c r="G151" s="124">
        <f>E151*F151</f>
        <v>48</v>
      </c>
      <c r="H151" s="128">
        <f>H141</f>
        <v>4000</v>
      </c>
      <c r="I151" s="124">
        <f t="shared" si="57"/>
        <v>64</v>
      </c>
      <c r="J151" s="38">
        <f>J141</f>
        <v>5000</v>
      </c>
      <c r="K151" s="41">
        <f t="shared" si="58"/>
        <v>80</v>
      </c>
      <c r="L151" s="380"/>
      <c r="M151" s="201">
        <v>0.016</v>
      </c>
      <c r="N151" s="94">
        <f>N141</f>
        <v>2000</v>
      </c>
      <c r="O151" s="79">
        <f t="shared" si="59"/>
        <v>32</v>
      </c>
      <c r="P151" s="94">
        <f>P141</f>
        <v>4000</v>
      </c>
      <c r="Q151" s="79">
        <f t="shared" si="60"/>
        <v>64</v>
      </c>
      <c r="R151" s="280">
        <f>R141</f>
        <v>3000</v>
      </c>
      <c r="S151" s="269">
        <f t="shared" si="61"/>
        <v>48</v>
      </c>
      <c r="T151" s="280">
        <f>T141</f>
        <v>2500</v>
      </c>
      <c r="U151" s="269">
        <f t="shared" si="62"/>
        <v>40</v>
      </c>
    </row>
    <row r="152" spans="1:21" ht="15.75">
      <c r="A152" s="495" t="s">
        <v>54</v>
      </c>
      <c r="B152" s="217"/>
      <c r="C152" s="217"/>
      <c r="D152" s="403" t="s">
        <v>42</v>
      </c>
      <c r="E152" s="122">
        <v>0.5</v>
      </c>
      <c r="F152" s="127">
        <f>(SUM(G142:G151)+181)</f>
        <v>582.5999999999999</v>
      </c>
      <c r="G152" s="124"/>
      <c r="H152" s="128">
        <f>(SUM(I142:I151)+181)</f>
        <v>638.1959999999999</v>
      </c>
      <c r="I152" s="124"/>
      <c r="J152" s="38">
        <f>(SUM(K142:K151)+181)</f>
        <v>707.8</v>
      </c>
      <c r="K152" s="41"/>
      <c r="L152" s="380"/>
      <c r="M152" s="90">
        <v>0.5</v>
      </c>
      <c r="N152" s="93">
        <f>(SUM(O142:O151)+181)</f>
        <v>429.9</v>
      </c>
      <c r="O152" s="91"/>
      <c r="P152" s="94">
        <f>(SUM(Q142:Q151)+181)</f>
        <v>528</v>
      </c>
      <c r="Q152" s="91"/>
      <c r="R152" s="280">
        <f>(SUM(S142:S151)+181)</f>
        <v>483.9</v>
      </c>
      <c r="S152" s="279"/>
      <c r="T152" s="280">
        <f>(SUM(U142:U151)+181)</f>
        <v>468.4</v>
      </c>
      <c r="U152" s="269"/>
    </row>
    <row r="153" spans="1:21" ht="16.5" customHeight="1" thickBot="1">
      <c r="A153" s="499" t="s">
        <v>56</v>
      </c>
      <c r="B153" s="217"/>
      <c r="C153" s="217"/>
      <c r="D153" s="399" t="s">
        <v>42</v>
      </c>
      <c r="E153" s="122">
        <v>0.05</v>
      </c>
      <c r="F153" s="127">
        <f>+E152*F152</f>
        <v>291.29999999999995</v>
      </c>
      <c r="G153" s="124">
        <f>E153*F153</f>
        <v>14.564999999999998</v>
      </c>
      <c r="H153" s="128">
        <f>+E152*H152</f>
        <v>319.09799999999996</v>
      </c>
      <c r="I153" s="124">
        <f>$E153*H153</f>
        <v>15.954899999999999</v>
      </c>
      <c r="J153" s="38">
        <f>+E152*J152</f>
        <v>353.9</v>
      </c>
      <c r="K153" s="41">
        <f>$E153*J153</f>
        <v>17.695</v>
      </c>
      <c r="L153" s="380"/>
      <c r="M153" s="90">
        <v>0.05</v>
      </c>
      <c r="N153" s="93">
        <f>+M152*N152</f>
        <v>214.95</v>
      </c>
      <c r="O153" s="91">
        <f>M153*N153</f>
        <v>10.7475</v>
      </c>
      <c r="P153" s="94">
        <f>+M152*P152</f>
        <v>264</v>
      </c>
      <c r="Q153" s="91">
        <f>$E153*P153</f>
        <v>13.200000000000001</v>
      </c>
      <c r="R153" s="280">
        <f>+M152*R152</f>
        <v>241.95</v>
      </c>
      <c r="S153" s="279">
        <f>$E153*R153</f>
        <v>12.0975</v>
      </c>
      <c r="T153" s="272">
        <f>+M152*T152</f>
        <v>234.2</v>
      </c>
      <c r="U153" s="269">
        <f t="shared" si="62"/>
        <v>11.71</v>
      </c>
    </row>
    <row r="154" spans="1:21" ht="18.75" thickBot="1">
      <c r="A154" s="160" t="s">
        <v>59</v>
      </c>
      <c r="B154" s="214"/>
      <c r="C154" s="214"/>
      <c r="D154" s="405"/>
      <c r="E154" s="218"/>
      <c r="F154" s="167"/>
      <c r="G154" s="145">
        <f>SUM(G142:G153)</f>
        <v>416.16499999999996</v>
      </c>
      <c r="H154" s="168"/>
      <c r="I154" s="145">
        <f>SUM(I142:I153)</f>
        <v>473.1509</v>
      </c>
      <c r="J154" s="367"/>
      <c r="K154" s="367">
        <f>SUM(K142:K153)</f>
        <v>544.495</v>
      </c>
      <c r="L154" s="379"/>
      <c r="M154" s="219"/>
      <c r="N154" s="169"/>
      <c r="O154" s="149">
        <f>SUM(O142:O153)</f>
        <v>259.6475</v>
      </c>
      <c r="P154" s="170"/>
      <c r="Q154" s="266">
        <f>SUM(Q142:Q153)</f>
        <v>360.2</v>
      </c>
      <c r="R154" s="448"/>
      <c r="S154" s="268">
        <f>SUM(S142:S153)</f>
        <v>314.9975</v>
      </c>
      <c r="T154" s="448"/>
      <c r="U154" s="268">
        <f>SUM(U142:U153)</f>
        <v>299.10999999999996</v>
      </c>
    </row>
    <row r="155" spans="1:21" ht="15.75">
      <c r="A155" s="220"/>
      <c r="B155" s="217"/>
      <c r="C155" s="217"/>
      <c r="D155" s="407" t="s">
        <v>39</v>
      </c>
      <c r="E155" s="42" t="s">
        <v>40</v>
      </c>
      <c r="F155" s="58" t="s">
        <v>41</v>
      </c>
      <c r="G155" s="59" t="s">
        <v>42</v>
      </c>
      <c r="H155" s="60" t="s">
        <v>43</v>
      </c>
      <c r="I155" s="59" t="s">
        <v>42</v>
      </c>
      <c r="J155" s="61" t="s">
        <v>41</v>
      </c>
      <c r="K155" s="64" t="s">
        <v>42</v>
      </c>
      <c r="L155" s="385"/>
      <c r="M155" s="42" t="s">
        <v>40</v>
      </c>
      <c r="N155" s="58" t="s">
        <v>41</v>
      </c>
      <c r="O155" s="59" t="s">
        <v>42</v>
      </c>
      <c r="P155" s="60" t="s">
        <v>43</v>
      </c>
      <c r="Q155" s="59" t="s">
        <v>42</v>
      </c>
      <c r="R155" s="61" t="s">
        <v>41</v>
      </c>
      <c r="S155" s="62" t="s">
        <v>42</v>
      </c>
      <c r="T155" s="61" t="s">
        <v>41</v>
      </c>
      <c r="U155" s="62" t="s">
        <v>42</v>
      </c>
    </row>
    <row r="156" spans="1:21" ht="18.75">
      <c r="A156" s="500" t="s">
        <v>98</v>
      </c>
      <c r="B156" s="468"/>
      <c r="C156" s="468"/>
      <c r="D156" s="462" t="s">
        <v>44</v>
      </c>
      <c r="E156" s="471"/>
      <c r="F156" s="472">
        <v>50</v>
      </c>
      <c r="G156" s="472"/>
      <c r="H156" s="472">
        <v>150</v>
      </c>
      <c r="I156" s="472"/>
      <c r="J156" s="472">
        <v>250</v>
      </c>
      <c r="K156" s="472"/>
      <c r="L156" s="474"/>
      <c r="M156" s="471"/>
      <c r="N156" s="472">
        <v>50</v>
      </c>
      <c r="O156" s="472"/>
      <c r="P156" s="472">
        <v>150</v>
      </c>
      <c r="Q156" s="472"/>
      <c r="R156" s="472">
        <v>150</v>
      </c>
      <c r="S156" s="501"/>
      <c r="T156" s="472">
        <v>150</v>
      </c>
      <c r="U156" s="501"/>
    </row>
    <row r="157" spans="1:21" ht="18">
      <c r="A157" s="495" t="s">
        <v>33</v>
      </c>
      <c r="B157" s="217"/>
      <c r="C157" s="217"/>
      <c r="D157" s="402"/>
      <c r="E157" s="122"/>
      <c r="F157" s="123"/>
      <c r="G157" s="124"/>
      <c r="H157" s="125"/>
      <c r="I157" s="124"/>
      <c r="J157" s="37"/>
      <c r="K157" s="41"/>
      <c r="L157" s="380"/>
      <c r="M157" s="90"/>
      <c r="N157" s="82"/>
      <c r="O157" s="91"/>
      <c r="P157" s="92"/>
      <c r="Q157" s="91"/>
      <c r="R157" s="296"/>
      <c r="S157" s="274"/>
      <c r="T157" s="296"/>
      <c r="U157" s="274"/>
    </row>
    <row r="158" spans="1:21" ht="15.75">
      <c r="A158" s="495" t="s">
        <v>99</v>
      </c>
      <c r="B158" s="217"/>
      <c r="C158" s="217"/>
      <c r="D158" s="403" t="s">
        <v>44</v>
      </c>
      <c r="E158" s="198">
        <v>9.8</v>
      </c>
      <c r="F158" s="125">
        <v>7</v>
      </c>
      <c r="G158" s="124">
        <f>E158*F158</f>
        <v>68.60000000000001</v>
      </c>
      <c r="H158" s="229">
        <v>7</v>
      </c>
      <c r="I158" s="124">
        <f>E158*H158</f>
        <v>68.60000000000001</v>
      </c>
      <c r="J158" s="16">
        <v>7</v>
      </c>
      <c r="K158" s="41">
        <f>E158*J158</f>
        <v>68.60000000000001</v>
      </c>
      <c r="L158" s="387"/>
      <c r="M158" s="198">
        <v>9.8</v>
      </c>
      <c r="N158" s="92">
        <v>4</v>
      </c>
      <c r="O158" s="91">
        <f>M158*N158</f>
        <v>39.2</v>
      </c>
      <c r="P158" s="229">
        <v>4</v>
      </c>
      <c r="Q158" s="91">
        <f>M158*P158</f>
        <v>39.2</v>
      </c>
      <c r="R158" s="374">
        <v>4</v>
      </c>
      <c r="S158" s="279">
        <f>M158*R158</f>
        <v>39.2</v>
      </c>
      <c r="T158" s="374">
        <v>4</v>
      </c>
      <c r="U158" s="269">
        <f aca="true" t="shared" si="63" ref="U158:U167">M158*T158</f>
        <v>39.2</v>
      </c>
    </row>
    <row r="159" spans="1:21" ht="15.75" customHeight="1">
      <c r="A159" s="495"/>
      <c r="B159" s="217"/>
      <c r="C159" s="217"/>
      <c r="D159" s="403" t="s">
        <v>44</v>
      </c>
      <c r="E159" s="201"/>
      <c r="F159" s="125">
        <v>260</v>
      </c>
      <c r="G159" s="124">
        <f>E159*F159</f>
        <v>0</v>
      </c>
      <c r="H159" s="229">
        <v>0</v>
      </c>
      <c r="I159" s="124">
        <f>E159*H159</f>
        <v>0</v>
      </c>
      <c r="J159" s="16">
        <v>260</v>
      </c>
      <c r="K159" s="41">
        <f>E159*J159</f>
        <v>0</v>
      </c>
      <c r="L159" s="387"/>
      <c r="M159" s="201" t="s">
        <v>103</v>
      </c>
      <c r="N159" s="92" t="s">
        <v>103</v>
      </c>
      <c r="O159" s="91" t="s">
        <v>103</v>
      </c>
      <c r="P159" s="229" t="s">
        <v>103</v>
      </c>
      <c r="Q159" s="91" t="s">
        <v>103</v>
      </c>
      <c r="R159" s="374" t="s">
        <v>103</v>
      </c>
      <c r="S159" s="279" t="s">
        <v>103</v>
      </c>
      <c r="T159" s="374" t="s">
        <v>103</v>
      </c>
      <c r="U159" s="269" t="e">
        <f t="shared" si="63"/>
        <v>#VALUE!</v>
      </c>
    </row>
    <row r="160" spans="1:21" ht="15.75">
      <c r="A160" s="499" t="s">
        <v>92</v>
      </c>
      <c r="B160" s="217"/>
      <c r="C160" s="217"/>
      <c r="D160" s="403" t="s">
        <v>95</v>
      </c>
      <c r="E160" s="199">
        <v>99</v>
      </c>
      <c r="F160" s="125">
        <v>1</v>
      </c>
      <c r="G160" s="124">
        <f>E160*F160</f>
        <v>99</v>
      </c>
      <c r="H160" s="229">
        <v>1</v>
      </c>
      <c r="I160" s="124">
        <f>E160*H160</f>
        <v>99</v>
      </c>
      <c r="J160" s="16">
        <v>1</v>
      </c>
      <c r="K160" s="41">
        <f>E160*J160</f>
        <v>99</v>
      </c>
      <c r="L160" s="387" t="s">
        <v>149</v>
      </c>
      <c r="M160" s="202">
        <v>1</v>
      </c>
      <c r="N160" s="92">
        <v>0</v>
      </c>
      <c r="O160" s="79">
        <f aca="true" t="shared" si="64" ref="O160:O165">M160*N160</f>
        <v>0</v>
      </c>
      <c r="P160" s="229">
        <v>0</v>
      </c>
      <c r="Q160" s="79">
        <f aca="true" t="shared" si="65" ref="Q160:Q165">M160*P160</f>
        <v>0</v>
      </c>
      <c r="R160" s="374">
        <v>0</v>
      </c>
      <c r="S160" s="269">
        <f aca="true" t="shared" si="66" ref="S160:S165">M160*R160</f>
        <v>0</v>
      </c>
      <c r="T160" s="374">
        <v>0</v>
      </c>
      <c r="U160" s="269">
        <f t="shared" si="63"/>
        <v>0</v>
      </c>
    </row>
    <row r="161" spans="1:21" ht="15.75">
      <c r="A161" s="495" t="s">
        <v>96</v>
      </c>
      <c r="B161" s="217"/>
      <c r="C161" s="217"/>
      <c r="D161" s="403" t="s">
        <v>95</v>
      </c>
      <c r="E161" s="199">
        <v>72</v>
      </c>
      <c r="F161" s="125">
        <v>1</v>
      </c>
      <c r="G161" s="124">
        <f>F161*E161</f>
        <v>72</v>
      </c>
      <c r="H161" s="229">
        <v>1</v>
      </c>
      <c r="I161" s="124">
        <f>H161*E161</f>
        <v>72</v>
      </c>
      <c r="J161" s="16">
        <v>1</v>
      </c>
      <c r="K161" s="41">
        <f>J161*E161</f>
        <v>72</v>
      </c>
      <c r="L161" s="387" t="s">
        <v>80</v>
      </c>
      <c r="M161" s="202">
        <v>7.5</v>
      </c>
      <c r="N161" s="92">
        <v>1</v>
      </c>
      <c r="O161" s="79">
        <f t="shared" si="64"/>
        <v>7.5</v>
      </c>
      <c r="P161" s="83">
        <v>1</v>
      </c>
      <c r="Q161" s="79">
        <f t="shared" si="65"/>
        <v>7.5</v>
      </c>
      <c r="R161" s="270">
        <v>1</v>
      </c>
      <c r="S161" s="269">
        <f t="shared" si="66"/>
        <v>7.5</v>
      </c>
      <c r="T161" s="270">
        <v>1</v>
      </c>
      <c r="U161" s="269">
        <f t="shared" si="63"/>
        <v>7.5</v>
      </c>
    </row>
    <row r="162" spans="1:34" s="32" customFormat="1" ht="18.75" customHeight="1">
      <c r="A162" s="495" t="s">
        <v>100</v>
      </c>
      <c r="B162" s="217"/>
      <c r="C162" s="217"/>
      <c r="D162" s="403" t="s">
        <v>50</v>
      </c>
      <c r="E162" s="224">
        <v>6</v>
      </c>
      <c r="F162" s="125">
        <v>9</v>
      </c>
      <c r="G162" s="124">
        <f>E162*F162</f>
        <v>54</v>
      </c>
      <c r="H162" s="126">
        <v>9</v>
      </c>
      <c r="I162" s="124">
        <f>E162*H162</f>
        <v>54</v>
      </c>
      <c r="J162" s="16">
        <v>9</v>
      </c>
      <c r="K162" s="41">
        <f>E162*J162</f>
        <v>54</v>
      </c>
      <c r="L162" s="387"/>
      <c r="M162" s="224">
        <v>6</v>
      </c>
      <c r="N162" s="92">
        <v>9</v>
      </c>
      <c r="O162" s="91">
        <f t="shared" si="64"/>
        <v>54</v>
      </c>
      <c r="P162" s="83">
        <v>9</v>
      </c>
      <c r="Q162" s="91">
        <f t="shared" si="65"/>
        <v>54</v>
      </c>
      <c r="R162" s="270">
        <v>9</v>
      </c>
      <c r="S162" s="279">
        <f t="shared" si="66"/>
        <v>54</v>
      </c>
      <c r="T162" s="270">
        <v>9</v>
      </c>
      <c r="U162" s="269">
        <f t="shared" si="63"/>
        <v>54</v>
      </c>
      <c r="V162"/>
      <c r="W162" s="7"/>
      <c r="X162" s="7"/>
      <c r="Y162" s="7"/>
      <c r="Z162" s="7"/>
      <c r="AA162" s="7"/>
      <c r="AB162" s="56"/>
      <c r="AC162" s="7"/>
      <c r="AD162" s="52"/>
      <c r="AE162" s="7"/>
      <c r="AF162" s="7"/>
      <c r="AG162" s="7"/>
      <c r="AH162"/>
    </row>
    <row r="163" spans="1:21" ht="15.75" customHeight="1">
      <c r="A163" s="495" t="s">
        <v>101</v>
      </c>
      <c r="B163" s="217"/>
      <c r="C163" s="217"/>
      <c r="D163" s="403" t="s">
        <v>50</v>
      </c>
      <c r="E163" s="224">
        <v>6</v>
      </c>
      <c r="F163" s="125">
        <v>3.5</v>
      </c>
      <c r="G163" s="124">
        <f>E163*F163</f>
        <v>21</v>
      </c>
      <c r="H163" s="126">
        <v>3.6</v>
      </c>
      <c r="I163" s="124">
        <f>E163*H163</f>
        <v>21.6</v>
      </c>
      <c r="J163" s="16">
        <v>3.7</v>
      </c>
      <c r="K163" s="41">
        <f>E163*J163</f>
        <v>22.200000000000003</v>
      </c>
      <c r="L163" s="387"/>
      <c r="M163" s="224">
        <v>6</v>
      </c>
      <c r="N163" s="92">
        <v>3.5</v>
      </c>
      <c r="O163" s="91">
        <f t="shared" si="64"/>
        <v>21</v>
      </c>
      <c r="P163" s="83">
        <v>3.6</v>
      </c>
      <c r="Q163" s="91">
        <f t="shared" si="65"/>
        <v>21.6</v>
      </c>
      <c r="R163" s="270">
        <v>3.7</v>
      </c>
      <c r="S163" s="279">
        <f t="shared" si="66"/>
        <v>22.200000000000003</v>
      </c>
      <c r="T163" s="270">
        <v>3.7</v>
      </c>
      <c r="U163" s="269">
        <f t="shared" si="63"/>
        <v>22.200000000000003</v>
      </c>
    </row>
    <row r="164" spans="1:21" ht="15.75">
      <c r="A164" s="495" t="s">
        <v>102</v>
      </c>
      <c r="B164" s="217"/>
      <c r="C164" s="217"/>
      <c r="D164" s="403" t="s">
        <v>11</v>
      </c>
      <c r="E164" s="199">
        <v>11</v>
      </c>
      <c r="F164" s="125">
        <v>1</v>
      </c>
      <c r="G164" s="124">
        <f>E164*F164</f>
        <v>11</v>
      </c>
      <c r="H164" s="126">
        <v>1</v>
      </c>
      <c r="I164" s="124">
        <f>E164*H164</f>
        <v>11</v>
      </c>
      <c r="J164" s="16">
        <v>1</v>
      </c>
      <c r="K164" s="41">
        <f>E164*J164</f>
        <v>11</v>
      </c>
      <c r="L164" s="387"/>
      <c r="M164" s="199">
        <v>11</v>
      </c>
      <c r="N164" s="92">
        <v>1</v>
      </c>
      <c r="O164" s="91">
        <f t="shared" si="64"/>
        <v>11</v>
      </c>
      <c r="P164" s="83">
        <v>1</v>
      </c>
      <c r="Q164" s="91">
        <f t="shared" si="65"/>
        <v>11</v>
      </c>
      <c r="R164" s="270">
        <v>1</v>
      </c>
      <c r="S164" s="279">
        <f t="shared" si="66"/>
        <v>11</v>
      </c>
      <c r="T164" s="270">
        <v>1</v>
      </c>
      <c r="U164" s="269">
        <f t="shared" si="63"/>
        <v>11</v>
      </c>
    </row>
    <row r="165" spans="1:21" ht="15.75">
      <c r="A165" s="495" t="s">
        <v>97</v>
      </c>
      <c r="B165" s="217"/>
      <c r="C165" s="217"/>
      <c r="D165" s="403" t="s">
        <v>44</v>
      </c>
      <c r="E165" s="198">
        <f>'[1]Hinnat'!$I$22</f>
        <v>0.27</v>
      </c>
      <c r="F165" s="125">
        <f>60</f>
        <v>60</v>
      </c>
      <c r="G165" s="124">
        <f>E165*F165</f>
        <v>16.200000000000003</v>
      </c>
      <c r="H165" s="126">
        <v>180</v>
      </c>
      <c r="I165" s="124">
        <f>E165*H165</f>
        <v>48.6</v>
      </c>
      <c r="J165" s="16">
        <v>300</v>
      </c>
      <c r="K165" s="41">
        <f>E165*J165</f>
        <v>81</v>
      </c>
      <c r="L165" s="387"/>
      <c r="M165" s="198">
        <f>'[1]Hinnat'!$I$22</f>
        <v>0.27</v>
      </c>
      <c r="N165" s="92">
        <f>60</f>
        <v>60</v>
      </c>
      <c r="O165" s="91">
        <f t="shared" si="64"/>
        <v>16.200000000000003</v>
      </c>
      <c r="P165" s="83">
        <v>180</v>
      </c>
      <c r="Q165" s="91">
        <f t="shared" si="65"/>
        <v>48.6</v>
      </c>
      <c r="R165" s="270">
        <v>300</v>
      </c>
      <c r="S165" s="279">
        <f t="shared" si="66"/>
        <v>81</v>
      </c>
      <c r="T165" s="270">
        <v>300</v>
      </c>
      <c r="U165" s="269">
        <f t="shared" si="63"/>
        <v>81</v>
      </c>
    </row>
    <row r="166" spans="1:21" ht="15.75">
      <c r="A166" s="495" t="s">
        <v>54</v>
      </c>
      <c r="B166" s="217"/>
      <c r="C166" s="217"/>
      <c r="D166" s="403" t="s">
        <v>42</v>
      </c>
      <c r="E166" s="138">
        <v>0.5</v>
      </c>
      <c r="F166" s="128">
        <f>(SUM(G158:G165)+236)</f>
        <v>577.8</v>
      </c>
      <c r="G166" s="124"/>
      <c r="H166" s="128">
        <f>(SUM(I158:I165)+250)</f>
        <v>624.8000000000001</v>
      </c>
      <c r="I166" s="124"/>
      <c r="J166" s="38">
        <f>(SUM(K158:K165)+264)</f>
        <v>671.8</v>
      </c>
      <c r="K166" s="41"/>
      <c r="L166" s="387"/>
      <c r="M166" s="90">
        <v>0.5</v>
      </c>
      <c r="N166" s="93">
        <f>(SUM(O158:O165)+236)</f>
        <v>384.9</v>
      </c>
      <c r="O166" s="91"/>
      <c r="P166" s="94">
        <f>(SUM(Q158:Q165)+250)</f>
        <v>431.9</v>
      </c>
      <c r="Q166" s="91"/>
      <c r="R166" s="280">
        <f>(SUM(S158:S165)+264)</f>
        <v>478.9</v>
      </c>
      <c r="S166" s="279"/>
      <c r="T166" s="280" t="e">
        <f>(SUM(U158:U165)+264)</f>
        <v>#VALUE!</v>
      </c>
      <c r="U166" s="269"/>
    </row>
    <row r="167" spans="1:21" ht="16.5" customHeight="1" thickBot="1">
      <c r="A167" s="495" t="s">
        <v>56</v>
      </c>
      <c r="B167" s="217"/>
      <c r="C167" s="217"/>
      <c r="D167" s="403" t="s">
        <v>42</v>
      </c>
      <c r="E167" s="138">
        <f>'[1]Hinnat'!$F$2</f>
        <v>0.05</v>
      </c>
      <c r="F167" s="128">
        <f>+E166*F166</f>
        <v>288.9</v>
      </c>
      <c r="G167" s="124">
        <f>E167*F167</f>
        <v>14.445</v>
      </c>
      <c r="H167" s="128">
        <f>+E166*H166</f>
        <v>312.40000000000003</v>
      </c>
      <c r="I167" s="124">
        <f>E167*H167</f>
        <v>15.620000000000003</v>
      </c>
      <c r="J167" s="38">
        <f>+E166*J166</f>
        <v>335.9</v>
      </c>
      <c r="K167" s="41">
        <f>E167*J167</f>
        <v>16.794999999999998</v>
      </c>
      <c r="L167" s="387"/>
      <c r="M167" s="90">
        <f>'[1]Hinnat'!$F$2</f>
        <v>0.05</v>
      </c>
      <c r="N167" s="93">
        <f>+M166*N166</f>
        <v>192.45</v>
      </c>
      <c r="O167" s="91">
        <f>M167*N167</f>
        <v>9.6225</v>
      </c>
      <c r="P167" s="94">
        <f>+M166*P166</f>
        <v>215.95</v>
      </c>
      <c r="Q167" s="91">
        <f>M167*P167</f>
        <v>10.7975</v>
      </c>
      <c r="R167" s="280">
        <f>+M166*R166</f>
        <v>239.45</v>
      </c>
      <c r="S167" s="279">
        <f>M167*R167</f>
        <v>11.9725</v>
      </c>
      <c r="T167" s="272" t="e">
        <f>+M166*T166</f>
        <v>#VALUE!</v>
      </c>
      <c r="U167" s="269" t="e">
        <f t="shared" si="63"/>
        <v>#VALUE!</v>
      </c>
    </row>
    <row r="168" spans="1:21" ht="18.75" thickBot="1">
      <c r="A168" s="171" t="s">
        <v>59</v>
      </c>
      <c r="B168" s="214"/>
      <c r="C168" s="214"/>
      <c r="D168" s="193"/>
      <c r="E168" s="173"/>
      <c r="F168" s="174"/>
      <c r="G168" s="175">
        <f>SUM(G155:G167)</f>
        <v>356.245</v>
      </c>
      <c r="H168" s="172"/>
      <c r="I168" s="175">
        <f>SUM(I155:I167)</f>
        <v>390.4200000000001</v>
      </c>
      <c r="J168" s="176"/>
      <c r="K168" s="195">
        <f>SUM(K155:K167)</f>
        <v>424.595</v>
      </c>
      <c r="L168" s="390"/>
      <c r="M168" s="177"/>
      <c r="N168" s="178"/>
      <c r="O168" s="179">
        <f>SUM(O155:O167)</f>
        <v>158.52249999999998</v>
      </c>
      <c r="P168" s="180"/>
      <c r="Q168" s="194">
        <f>SUM(Q155:Q167)</f>
        <v>192.6975</v>
      </c>
      <c r="R168" s="446"/>
      <c r="S168" s="445">
        <f>SUM(S155:S167)</f>
        <v>226.8725</v>
      </c>
      <c r="T168" s="446"/>
      <c r="U168" s="445" t="e">
        <f>SUM(U155:U167)</f>
        <v>#VALUE!</v>
      </c>
    </row>
    <row r="169" spans="1:21" ht="18.75" customHeight="1">
      <c r="A169" s="220"/>
      <c r="B169" s="217"/>
      <c r="C169" s="217"/>
      <c r="D169" s="407" t="s">
        <v>39</v>
      </c>
      <c r="E169" s="42" t="s">
        <v>40</v>
      </c>
      <c r="F169" s="58" t="s">
        <v>41</v>
      </c>
      <c r="G169" s="59" t="s">
        <v>42</v>
      </c>
      <c r="H169" s="61" t="s">
        <v>43</v>
      </c>
      <c r="I169" s="59" t="s">
        <v>42</v>
      </c>
      <c r="J169" s="61" t="s">
        <v>41</v>
      </c>
      <c r="K169" s="64" t="s">
        <v>42</v>
      </c>
      <c r="L169" s="391"/>
      <c r="M169" s="42" t="s">
        <v>40</v>
      </c>
      <c r="N169" s="58" t="s">
        <v>41</v>
      </c>
      <c r="O169" s="59" t="s">
        <v>42</v>
      </c>
      <c r="P169" s="61" t="s">
        <v>43</v>
      </c>
      <c r="Q169" s="59" t="s">
        <v>42</v>
      </c>
      <c r="R169" s="61" t="s">
        <v>41</v>
      </c>
      <c r="S169" s="62" t="s">
        <v>42</v>
      </c>
      <c r="T169" s="61" t="s">
        <v>41</v>
      </c>
      <c r="U169" s="62" t="s">
        <v>42</v>
      </c>
    </row>
    <row r="170" spans="1:21" ht="15.75" customHeight="1">
      <c r="A170" s="500" t="s">
        <v>104</v>
      </c>
      <c r="B170" s="468"/>
      <c r="C170" s="468"/>
      <c r="D170" s="462" t="s">
        <v>44</v>
      </c>
      <c r="E170" s="471"/>
      <c r="F170" s="472">
        <v>50</v>
      </c>
      <c r="G170" s="472"/>
      <c r="H170" s="472">
        <v>150</v>
      </c>
      <c r="I170" s="472"/>
      <c r="J170" s="472">
        <v>250</v>
      </c>
      <c r="K170" s="472"/>
      <c r="L170" s="474"/>
      <c r="M170" s="471"/>
      <c r="N170" s="472">
        <v>50</v>
      </c>
      <c r="O170" s="472"/>
      <c r="P170" s="472">
        <v>150</v>
      </c>
      <c r="Q170" s="472"/>
      <c r="R170" s="472">
        <v>150</v>
      </c>
      <c r="S170" s="501"/>
      <c r="T170" s="472">
        <v>150</v>
      </c>
      <c r="U170" s="501"/>
    </row>
    <row r="171" spans="1:21" ht="18">
      <c r="A171" s="495" t="s">
        <v>33</v>
      </c>
      <c r="B171" s="217"/>
      <c r="C171" s="217"/>
      <c r="D171" s="402"/>
      <c r="E171" s="122"/>
      <c r="F171" s="123"/>
      <c r="G171" s="124"/>
      <c r="H171" s="125"/>
      <c r="I171" s="124"/>
      <c r="J171" s="37"/>
      <c r="K171" s="41"/>
      <c r="L171" s="380"/>
      <c r="M171" s="90"/>
      <c r="N171" s="82"/>
      <c r="O171" s="91"/>
      <c r="P171" s="92"/>
      <c r="Q171" s="91"/>
      <c r="R171" s="296"/>
      <c r="S171" s="274"/>
      <c r="T171" s="296"/>
      <c r="U171" s="274"/>
    </row>
    <row r="172" spans="1:21" ht="15.75">
      <c r="A172" s="495" t="s">
        <v>133</v>
      </c>
      <c r="B172" s="217"/>
      <c r="C172" s="217"/>
      <c r="D172" s="403" t="s">
        <v>44</v>
      </c>
      <c r="E172" s="198">
        <v>6.8</v>
      </c>
      <c r="F172" s="125">
        <v>3</v>
      </c>
      <c r="G172" s="124">
        <f aca="true" t="shared" si="67" ref="G172:G180">E172*F172</f>
        <v>20.4</v>
      </c>
      <c r="H172" s="229">
        <v>3</v>
      </c>
      <c r="I172" s="124">
        <f aca="true" t="shared" si="68" ref="I172:I180">E172*H172</f>
        <v>20.4</v>
      </c>
      <c r="J172" s="16">
        <v>3</v>
      </c>
      <c r="K172" s="41">
        <f aca="true" t="shared" si="69" ref="K172:K180">E172*J172</f>
        <v>20.4</v>
      </c>
      <c r="L172" s="387"/>
      <c r="M172" s="198">
        <v>6.8</v>
      </c>
      <c r="N172" s="92">
        <v>3</v>
      </c>
      <c r="O172" s="91">
        <f aca="true" t="shared" si="70" ref="O172:O180">M172*N172</f>
        <v>20.4</v>
      </c>
      <c r="P172" s="229">
        <v>3</v>
      </c>
      <c r="Q172" s="91">
        <f aca="true" t="shared" si="71" ref="Q172:Q180">M172*P172</f>
        <v>20.4</v>
      </c>
      <c r="R172" s="374">
        <v>3</v>
      </c>
      <c r="S172" s="279">
        <f aca="true" t="shared" si="72" ref="S172:S180">M172*R172</f>
        <v>20.4</v>
      </c>
      <c r="T172" s="374">
        <v>3</v>
      </c>
      <c r="U172" s="269">
        <f aca="true" t="shared" si="73" ref="U172:U182">M172*T172</f>
        <v>20.4</v>
      </c>
    </row>
    <row r="173" spans="1:21" ht="15.75" customHeight="1">
      <c r="A173" s="495" t="s">
        <v>63</v>
      </c>
      <c r="B173" s="217"/>
      <c r="C173" s="217"/>
      <c r="D173" s="403" t="s">
        <v>44</v>
      </c>
      <c r="E173" s="201">
        <f>E5</f>
        <v>0.315</v>
      </c>
      <c r="F173" s="125">
        <v>380</v>
      </c>
      <c r="G173" s="124">
        <f t="shared" si="67"/>
        <v>119.7</v>
      </c>
      <c r="H173" s="229">
        <v>300</v>
      </c>
      <c r="I173" s="124">
        <f t="shared" si="68"/>
        <v>94.5</v>
      </c>
      <c r="J173" s="16">
        <v>380</v>
      </c>
      <c r="K173" s="41">
        <f t="shared" si="69"/>
        <v>119.7</v>
      </c>
      <c r="L173" s="387"/>
      <c r="M173" s="202">
        <v>0</v>
      </c>
      <c r="N173" s="92">
        <v>1</v>
      </c>
      <c r="O173" s="79">
        <f>M173*N173</f>
        <v>0</v>
      </c>
      <c r="P173" s="229">
        <v>1</v>
      </c>
      <c r="Q173" s="79">
        <f>M173*P173</f>
        <v>0</v>
      </c>
      <c r="R173" s="374">
        <v>1</v>
      </c>
      <c r="S173" s="269">
        <f t="shared" si="72"/>
        <v>0</v>
      </c>
      <c r="T173" s="374">
        <v>1</v>
      </c>
      <c r="U173" s="269">
        <f t="shared" si="73"/>
        <v>0</v>
      </c>
    </row>
    <row r="174" spans="1:21" ht="20.25" customHeight="1">
      <c r="A174" s="499" t="s">
        <v>92</v>
      </c>
      <c r="B174" s="217"/>
      <c r="C174" s="217"/>
      <c r="D174" s="403" t="s">
        <v>95</v>
      </c>
      <c r="E174" s="199">
        <v>39</v>
      </c>
      <c r="F174" s="125">
        <v>1</v>
      </c>
      <c r="G174" s="124">
        <f t="shared" si="67"/>
        <v>39</v>
      </c>
      <c r="H174" s="229">
        <v>1</v>
      </c>
      <c r="I174" s="124">
        <f t="shared" si="68"/>
        <v>39</v>
      </c>
      <c r="J174" s="16">
        <v>1</v>
      </c>
      <c r="K174" s="41">
        <f t="shared" si="69"/>
        <v>39</v>
      </c>
      <c r="L174" s="387" t="s">
        <v>80</v>
      </c>
      <c r="M174" s="202">
        <v>7.5</v>
      </c>
      <c r="N174" s="92">
        <v>1</v>
      </c>
      <c r="O174" s="79">
        <f>M174*N174</f>
        <v>7.5</v>
      </c>
      <c r="P174" s="83">
        <v>1</v>
      </c>
      <c r="Q174" s="79">
        <f>M174*P174</f>
        <v>7.5</v>
      </c>
      <c r="R174" s="270">
        <v>1</v>
      </c>
      <c r="S174" s="269">
        <f t="shared" si="72"/>
        <v>7.5</v>
      </c>
      <c r="T174" s="270">
        <v>1</v>
      </c>
      <c r="U174" s="269">
        <f t="shared" si="73"/>
        <v>7.5</v>
      </c>
    </row>
    <row r="175" spans="1:21" ht="15.75">
      <c r="A175" s="499" t="s">
        <v>92</v>
      </c>
      <c r="B175" s="217"/>
      <c r="C175" s="217"/>
      <c r="D175" s="403" t="s">
        <v>95</v>
      </c>
      <c r="E175" s="199">
        <v>31</v>
      </c>
      <c r="F175" s="125">
        <v>1</v>
      </c>
      <c r="G175" s="124">
        <f t="shared" si="67"/>
        <v>31</v>
      </c>
      <c r="H175" s="229">
        <v>1</v>
      </c>
      <c r="I175" s="124">
        <f t="shared" si="68"/>
        <v>31</v>
      </c>
      <c r="J175" s="16">
        <v>1</v>
      </c>
      <c r="K175" s="41">
        <f t="shared" si="69"/>
        <v>31</v>
      </c>
      <c r="L175" s="380" t="s">
        <v>79</v>
      </c>
      <c r="M175" s="203">
        <f>E10</f>
        <v>0.265</v>
      </c>
      <c r="N175" s="78">
        <v>0</v>
      </c>
      <c r="O175" s="79">
        <f>M175*N175</f>
        <v>0</v>
      </c>
      <c r="P175" s="204">
        <v>500</v>
      </c>
      <c r="Q175" s="79">
        <f>M175*P175</f>
        <v>132.5</v>
      </c>
      <c r="R175" s="372">
        <v>1000</v>
      </c>
      <c r="S175" s="269">
        <f t="shared" si="72"/>
        <v>265</v>
      </c>
      <c r="T175" s="372">
        <v>1000</v>
      </c>
      <c r="U175" s="269">
        <f t="shared" si="73"/>
        <v>265</v>
      </c>
    </row>
    <row r="176" spans="1:21" ht="15.75" customHeight="1">
      <c r="A176" s="499" t="s">
        <v>92</v>
      </c>
      <c r="B176" s="217"/>
      <c r="C176" s="217"/>
      <c r="D176" s="403" t="s">
        <v>11</v>
      </c>
      <c r="E176" s="199">
        <v>40</v>
      </c>
      <c r="F176" s="125">
        <v>1</v>
      </c>
      <c r="G176" s="124">
        <f t="shared" si="67"/>
        <v>40</v>
      </c>
      <c r="H176" s="126">
        <v>1</v>
      </c>
      <c r="I176" s="124">
        <f t="shared" si="68"/>
        <v>40</v>
      </c>
      <c r="J176" s="16">
        <v>1</v>
      </c>
      <c r="K176" s="41">
        <f t="shared" si="69"/>
        <v>40</v>
      </c>
      <c r="L176" s="387"/>
      <c r="M176" s="199">
        <v>0</v>
      </c>
      <c r="N176" s="92">
        <v>1</v>
      </c>
      <c r="O176" s="91">
        <f t="shared" si="70"/>
        <v>0</v>
      </c>
      <c r="P176" s="83">
        <v>1</v>
      </c>
      <c r="Q176" s="91">
        <f t="shared" si="71"/>
        <v>0</v>
      </c>
      <c r="R176" s="270">
        <v>1</v>
      </c>
      <c r="S176" s="279">
        <f t="shared" si="72"/>
        <v>0</v>
      </c>
      <c r="T176" s="270">
        <v>1</v>
      </c>
      <c r="U176" s="269">
        <f t="shared" si="73"/>
        <v>0</v>
      </c>
    </row>
    <row r="177" spans="1:34" s="32" customFormat="1" ht="18.75" customHeight="1">
      <c r="A177" s="495" t="s">
        <v>100</v>
      </c>
      <c r="B177" s="217"/>
      <c r="C177" s="217"/>
      <c r="D177" s="403" t="s">
        <v>50</v>
      </c>
      <c r="E177" s="198">
        <v>6</v>
      </c>
      <c r="F177" s="125">
        <v>8</v>
      </c>
      <c r="G177" s="124">
        <f t="shared" si="67"/>
        <v>48</v>
      </c>
      <c r="H177" s="126">
        <v>8</v>
      </c>
      <c r="I177" s="124">
        <f t="shared" si="68"/>
        <v>48</v>
      </c>
      <c r="J177" s="16">
        <v>8</v>
      </c>
      <c r="K177" s="41">
        <f t="shared" si="69"/>
        <v>48</v>
      </c>
      <c r="L177" s="387"/>
      <c r="M177" s="198">
        <v>6</v>
      </c>
      <c r="N177" s="92">
        <v>8</v>
      </c>
      <c r="O177" s="91">
        <f t="shared" si="70"/>
        <v>48</v>
      </c>
      <c r="P177" s="83">
        <v>8</v>
      </c>
      <c r="Q177" s="91">
        <f t="shared" si="71"/>
        <v>48</v>
      </c>
      <c r="R177" s="270">
        <v>8</v>
      </c>
      <c r="S177" s="279">
        <f t="shared" si="72"/>
        <v>48</v>
      </c>
      <c r="T177" s="270">
        <v>8</v>
      </c>
      <c r="U177" s="269">
        <f t="shared" si="73"/>
        <v>48</v>
      </c>
      <c r="V177"/>
      <c r="W177" s="7"/>
      <c r="X177" s="7"/>
      <c r="Y177" s="7"/>
      <c r="Z177" s="7"/>
      <c r="AA177" s="7"/>
      <c r="AB177" s="56"/>
      <c r="AC177" s="7"/>
      <c r="AD177" s="52"/>
      <c r="AE177" s="7"/>
      <c r="AF177" s="7"/>
      <c r="AG177" s="7"/>
      <c r="AH177"/>
    </row>
    <row r="178" spans="1:21" ht="18.75" customHeight="1">
      <c r="A178" s="495" t="s">
        <v>101</v>
      </c>
      <c r="B178" s="217"/>
      <c r="C178" s="217"/>
      <c r="D178" s="403" t="s">
        <v>50</v>
      </c>
      <c r="E178" s="198">
        <v>6</v>
      </c>
      <c r="F178" s="125">
        <v>2.4</v>
      </c>
      <c r="G178" s="124">
        <f t="shared" si="67"/>
        <v>14.399999999999999</v>
      </c>
      <c r="H178" s="126">
        <v>2.5</v>
      </c>
      <c r="I178" s="124">
        <f t="shared" si="68"/>
        <v>15</v>
      </c>
      <c r="J178" s="16">
        <v>2.6</v>
      </c>
      <c r="K178" s="41">
        <f t="shared" si="69"/>
        <v>15.600000000000001</v>
      </c>
      <c r="L178" s="387"/>
      <c r="M178" s="198">
        <v>6</v>
      </c>
      <c r="N178" s="92">
        <v>2.4</v>
      </c>
      <c r="O178" s="91">
        <f t="shared" si="70"/>
        <v>14.399999999999999</v>
      </c>
      <c r="P178" s="83">
        <v>2.5</v>
      </c>
      <c r="Q178" s="91">
        <f t="shared" si="71"/>
        <v>15</v>
      </c>
      <c r="R178" s="270">
        <v>2.6</v>
      </c>
      <c r="S178" s="279">
        <f t="shared" si="72"/>
        <v>15.600000000000001</v>
      </c>
      <c r="T178" s="270">
        <v>2.6</v>
      </c>
      <c r="U178" s="269">
        <f t="shared" si="73"/>
        <v>15.600000000000001</v>
      </c>
    </row>
    <row r="179" spans="1:21" ht="18.75" customHeight="1">
      <c r="A179" s="495" t="s">
        <v>102</v>
      </c>
      <c r="B179" s="217"/>
      <c r="C179" s="217"/>
      <c r="D179" s="403" t="s">
        <v>11</v>
      </c>
      <c r="E179" s="199">
        <v>17</v>
      </c>
      <c r="F179" s="125">
        <v>1</v>
      </c>
      <c r="G179" s="124">
        <f t="shared" si="67"/>
        <v>17</v>
      </c>
      <c r="H179" s="126">
        <v>1</v>
      </c>
      <c r="I179" s="124">
        <f t="shared" si="68"/>
        <v>17</v>
      </c>
      <c r="J179" s="16">
        <v>1</v>
      </c>
      <c r="K179" s="41">
        <f t="shared" si="69"/>
        <v>17</v>
      </c>
      <c r="L179" s="387"/>
      <c r="M179" s="199">
        <v>17</v>
      </c>
      <c r="N179" s="92">
        <v>1</v>
      </c>
      <c r="O179" s="91">
        <f t="shared" si="70"/>
        <v>17</v>
      </c>
      <c r="P179" s="83">
        <v>1</v>
      </c>
      <c r="Q179" s="91">
        <f t="shared" si="71"/>
        <v>17</v>
      </c>
      <c r="R179" s="270">
        <v>1</v>
      </c>
      <c r="S179" s="279">
        <f t="shared" si="72"/>
        <v>17</v>
      </c>
      <c r="T179" s="270">
        <v>1</v>
      </c>
      <c r="U179" s="269">
        <f t="shared" si="73"/>
        <v>17</v>
      </c>
    </row>
    <row r="180" spans="1:21" ht="18.75" customHeight="1">
      <c r="A180" s="495" t="s">
        <v>97</v>
      </c>
      <c r="B180" s="217"/>
      <c r="C180" s="217"/>
      <c r="D180" s="403" t="s">
        <v>44</v>
      </c>
      <c r="E180" s="198">
        <f>'[1]Hinnat'!$I$23</f>
        <v>0.12</v>
      </c>
      <c r="F180" s="125">
        <v>330</v>
      </c>
      <c r="G180" s="124">
        <f t="shared" si="67"/>
        <v>39.6</v>
      </c>
      <c r="H180" s="126">
        <v>440</v>
      </c>
      <c r="I180" s="124">
        <f t="shared" si="68"/>
        <v>52.8</v>
      </c>
      <c r="J180" s="16">
        <v>550</v>
      </c>
      <c r="K180" s="41">
        <f t="shared" si="69"/>
        <v>66</v>
      </c>
      <c r="L180" s="387"/>
      <c r="M180" s="198">
        <f>'[1]Hinnat'!$I$23</f>
        <v>0.12</v>
      </c>
      <c r="N180" s="92">
        <v>330</v>
      </c>
      <c r="O180" s="91">
        <f t="shared" si="70"/>
        <v>39.6</v>
      </c>
      <c r="P180" s="83">
        <v>440</v>
      </c>
      <c r="Q180" s="91">
        <f t="shared" si="71"/>
        <v>52.8</v>
      </c>
      <c r="R180" s="270">
        <v>550</v>
      </c>
      <c r="S180" s="279">
        <f t="shared" si="72"/>
        <v>66</v>
      </c>
      <c r="T180" s="270">
        <v>550</v>
      </c>
      <c r="U180" s="269">
        <f t="shared" si="73"/>
        <v>66</v>
      </c>
    </row>
    <row r="181" spans="1:21" ht="18.75" customHeight="1">
      <c r="A181" s="495" t="s">
        <v>54</v>
      </c>
      <c r="B181" s="217"/>
      <c r="C181" s="217"/>
      <c r="D181" s="403" t="s">
        <v>42</v>
      </c>
      <c r="E181" s="138">
        <v>0.5</v>
      </c>
      <c r="F181" s="128">
        <f>(SUM(G172:G180)+181)</f>
        <v>550.1</v>
      </c>
      <c r="G181" s="124"/>
      <c r="H181" s="128">
        <f>(SUM(I172:I180)+195)</f>
        <v>552.7</v>
      </c>
      <c r="I181" s="124"/>
      <c r="J181" s="38">
        <f>(SUM(K172:K180)+209)</f>
        <v>605.7</v>
      </c>
      <c r="K181" s="41"/>
      <c r="L181" s="387"/>
      <c r="M181" s="90">
        <v>0.5</v>
      </c>
      <c r="N181" s="93">
        <f>(SUM(O172:O180)+181)</f>
        <v>327.9</v>
      </c>
      <c r="O181" s="91"/>
      <c r="P181" s="94">
        <f>(SUM(Q172:Q180)+181)</f>
        <v>474.2</v>
      </c>
      <c r="Q181" s="91"/>
      <c r="R181" s="280">
        <f>(SUM(S172:S180)+181)</f>
        <v>620.5</v>
      </c>
      <c r="S181" s="279"/>
      <c r="T181" s="280">
        <f>(SUM(U172:U180)+181)</f>
        <v>620.5</v>
      </c>
      <c r="U181" s="269"/>
    </row>
    <row r="182" spans="1:21" ht="18.75" customHeight="1" thickBot="1">
      <c r="A182" s="495" t="s">
        <v>56</v>
      </c>
      <c r="B182" s="217"/>
      <c r="C182" s="217"/>
      <c r="D182" s="403" t="s">
        <v>42</v>
      </c>
      <c r="E182" s="138">
        <f>'[1]Hinnat'!$F$2</f>
        <v>0.05</v>
      </c>
      <c r="F182" s="128">
        <f>+E181*F181</f>
        <v>275.05</v>
      </c>
      <c r="G182" s="124">
        <f>E182*F182</f>
        <v>13.752500000000001</v>
      </c>
      <c r="H182" s="128">
        <f>+E181*H181</f>
        <v>276.35</v>
      </c>
      <c r="I182" s="124">
        <f>E182*H182</f>
        <v>13.817500000000003</v>
      </c>
      <c r="J182" s="38">
        <f>+E181*J181</f>
        <v>302.85</v>
      </c>
      <c r="K182" s="41">
        <f>E182*J182</f>
        <v>15.142500000000002</v>
      </c>
      <c r="L182" s="387"/>
      <c r="M182" s="90">
        <f>'[1]Hinnat'!$F$2</f>
        <v>0.05</v>
      </c>
      <c r="N182" s="93">
        <f>+M181*N181</f>
        <v>163.95</v>
      </c>
      <c r="O182" s="91">
        <f>M182*N182</f>
        <v>8.1975</v>
      </c>
      <c r="P182" s="94">
        <f>+M181*P181</f>
        <v>237.1</v>
      </c>
      <c r="Q182" s="91">
        <f>M182*P182</f>
        <v>11.855</v>
      </c>
      <c r="R182" s="280">
        <f>+M181*R181</f>
        <v>310.25</v>
      </c>
      <c r="S182" s="279">
        <f>M182*R182</f>
        <v>15.512500000000001</v>
      </c>
      <c r="T182" s="272">
        <f>+M181*T181</f>
        <v>310.25</v>
      </c>
      <c r="U182" s="269">
        <f t="shared" si="73"/>
        <v>15.512500000000001</v>
      </c>
    </row>
    <row r="183" spans="1:21" ht="18.75" customHeight="1" thickBot="1">
      <c r="A183" s="161" t="s">
        <v>59</v>
      </c>
      <c r="B183" s="221"/>
      <c r="C183" s="221"/>
      <c r="D183" s="189"/>
      <c r="E183" s="181"/>
      <c r="F183" s="182"/>
      <c r="G183" s="183">
        <f>SUM(G170:G182)</f>
        <v>382.8525</v>
      </c>
      <c r="H183" s="141"/>
      <c r="I183" s="183">
        <f>SUM(I170:I182)</f>
        <v>371.5175</v>
      </c>
      <c r="J183" s="184"/>
      <c r="K183" s="369">
        <f>SUM(K170:K182)</f>
        <v>411.84250000000003</v>
      </c>
      <c r="L183" s="392"/>
      <c r="M183" s="185"/>
      <c r="N183" s="186"/>
      <c r="O183" s="187">
        <f>SUM(O170:O182)</f>
        <v>155.0975</v>
      </c>
      <c r="P183" s="188"/>
      <c r="Q183" s="447">
        <f>SUM(Q170:Q182)</f>
        <v>305.055</v>
      </c>
      <c r="R183" s="446"/>
      <c r="S183" s="445">
        <f>SUM(S170:S182)</f>
        <v>455.0125</v>
      </c>
      <c r="T183" s="446"/>
      <c r="U183" s="445">
        <f>SUM(U170:U182)</f>
        <v>455.0125</v>
      </c>
    </row>
    <row r="184" spans="1:21" ht="18.75" customHeight="1">
      <c r="A184" s="220"/>
      <c r="B184" s="217"/>
      <c r="C184" s="217"/>
      <c r="D184" s="407" t="s">
        <v>39</v>
      </c>
      <c r="E184" s="42" t="s">
        <v>40</v>
      </c>
      <c r="F184" s="58" t="s">
        <v>41</v>
      </c>
      <c r="G184" s="59" t="s">
        <v>42</v>
      </c>
      <c r="H184" s="60" t="s">
        <v>43</v>
      </c>
      <c r="I184" s="59" t="s">
        <v>42</v>
      </c>
      <c r="J184" s="61" t="s">
        <v>41</v>
      </c>
      <c r="K184" s="64" t="s">
        <v>42</v>
      </c>
      <c r="L184" s="385"/>
      <c r="M184" s="42" t="s">
        <v>40</v>
      </c>
      <c r="N184" s="58" t="s">
        <v>41</v>
      </c>
      <c r="O184" s="59" t="s">
        <v>42</v>
      </c>
      <c r="P184" s="60" t="s">
        <v>43</v>
      </c>
      <c r="Q184" s="59" t="s">
        <v>42</v>
      </c>
      <c r="R184" s="61" t="s">
        <v>41</v>
      </c>
      <c r="S184" s="62" t="s">
        <v>42</v>
      </c>
      <c r="T184" s="61" t="s">
        <v>41</v>
      </c>
      <c r="U184" s="62" t="s">
        <v>42</v>
      </c>
    </row>
    <row r="185" spans="1:21" ht="18.75" customHeight="1">
      <c r="A185" s="497" t="s">
        <v>71</v>
      </c>
      <c r="B185" s="454"/>
      <c r="C185" s="454"/>
      <c r="D185" s="475" t="s">
        <v>44</v>
      </c>
      <c r="E185" s="476"/>
      <c r="F185" s="477">
        <v>14000</v>
      </c>
      <c r="G185" s="478"/>
      <c r="H185" s="475">
        <f>'[2]C1-alue'!D16</f>
        <v>17900</v>
      </c>
      <c r="I185" s="478"/>
      <c r="J185" s="475">
        <v>21800</v>
      </c>
      <c r="K185" s="478"/>
      <c r="L185" s="479"/>
      <c r="M185" s="476"/>
      <c r="N185" s="477">
        <v>14000</v>
      </c>
      <c r="O185" s="478"/>
      <c r="P185" s="475">
        <f>'B-alue'!D71</f>
        <v>14000</v>
      </c>
      <c r="Q185" s="478"/>
      <c r="R185" s="475">
        <f>'B-alue'!D32</f>
        <v>14000</v>
      </c>
      <c r="S185" s="498"/>
      <c r="T185" s="475">
        <f>'B-alue'!D49</f>
        <v>14000</v>
      </c>
      <c r="U185" s="498"/>
    </row>
    <row r="186" spans="1:21" ht="18.75" customHeight="1">
      <c r="A186" s="495" t="s">
        <v>33</v>
      </c>
      <c r="B186" s="217"/>
      <c r="C186" s="217"/>
      <c r="D186" s="402"/>
      <c r="E186" s="122"/>
      <c r="F186" s="123"/>
      <c r="G186" s="124"/>
      <c r="H186" s="125"/>
      <c r="I186" s="124"/>
      <c r="J186" s="37"/>
      <c r="K186" s="41"/>
      <c r="L186" s="380"/>
      <c r="M186" s="90"/>
      <c r="N186" s="82"/>
      <c r="O186" s="91"/>
      <c r="P186" s="92"/>
      <c r="Q186" s="91"/>
      <c r="R186" s="278"/>
      <c r="S186" s="279"/>
      <c r="T186" s="278"/>
      <c r="U186" s="279"/>
    </row>
    <row r="187" spans="1:21" ht="18.75" customHeight="1">
      <c r="A187" s="495" t="s">
        <v>72</v>
      </c>
      <c r="B187" s="217"/>
      <c r="C187" s="217"/>
      <c r="D187" s="403" t="s">
        <v>44</v>
      </c>
      <c r="E187" s="198">
        <v>3.5</v>
      </c>
      <c r="F187" s="125">
        <v>9</v>
      </c>
      <c r="G187" s="134">
        <f>E187*F187</f>
        <v>31.5</v>
      </c>
      <c r="H187" s="229">
        <v>9</v>
      </c>
      <c r="I187" s="124">
        <f>E187*H187</f>
        <v>31.5</v>
      </c>
      <c r="J187" s="16">
        <v>9</v>
      </c>
      <c r="K187" s="41">
        <f>E187*J187</f>
        <v>31.5</v>
      </c>
      <c r="L187" s="393" t="s">
        <v>150</v>
      </c>
      <c r="M187" s="198">
        <v>6.1</v>
      </c>
      <c r="N187" s="92">
        <v>7</v>
      </c>
      <c r="O187" s="81">
        <f aca="true" t="shared" si="74" ref="O187:O194">M187*N187</f>
        <v>42.699999999999996</v>
      </c>
      <c r="P187" s="229">
        <v>9</v>
      </c>
      <c r="Q187" s="79">
        <f aca="true" t="shared" si="75" ref="Q187:Q194">M187*P187</f>
        <v>54.9</v>
      </c>
      <c r="R187" s="374">
        <v>9</v>
      </c>
      <c r="S187" s="269">
        <f aca="true" t="shared" si="76" ref="S187:S194">M187*R187</f>
        <v>54.9</v>
      </c>
      <c r="T187" s="374">
        <v>9</v>
      </c>
      <c r="U187" s="269">
        <f aca="true" t="shared" si="77" ref="U187:U196">M187*T187</f>
        <v>54.9</v>
      </c>
    </row>
    <row r="188" spans="1:21" ht="18.75" customHeight="1">
      <c r="A188" s="539" t="s">
        <v>165</v>
      </c>
      <c r="B188" s="217"/>
      <c r="C188" s="217"/>
      <c r="D188" s="403" t="s">
        <v>44</v>
      </c>
      <c r="E188" s="201">
        <f>E2</f>
        <v>0.412</v>
      </c>
      <c r="F188" s="125">
        <v>420</v>
      </c>
      <c r="G188" s="134">
        <f>E188*F188</f>
        <v>173.04</v>
      </c>
      <c r="H188" s="229">
        <v>400</v>
      </c>
      <c r="I188" s="124">
        <f>E188*H188</f>
        <v>164.79999999999998</v>
      </c>
      <c r="J188" s="63">
        <v>500</v>
      </c>
      <c r="K188" s="41">
        <f>E188*J188</f>
        <v>206</v>
      </c>
      <c r="L188" s="380"/>
      <c r="M188" s="202"/>
      <c r="N188" s="92">
        <v>0</v>
      </c>
      <c r="O188" s="98">
        <f t="shared" si="74"/>
        <v>0</v>
      </c>
      <c r="P188" s="228">
        <v>0</v>
      </c>
      <c r="Q188" s="79">
        <f t="shared" si="75"/>
        <v>0</v>
      </c>
      <c r="R188" s="373">
        <v>0</v>
      </c>
      <c r="S188" s="269">
        <f t="shared" si="76"/>
        <v>0</v>
      </c>
      <c r="T188" s="373">
        <v>0</v>
      </c>
      <c r="U188" s="269">
        <f t="shared" si="77"/>
        <v>0</v>
      </c>
    </row>
    <row r="189" spans="1:21" ht="18.75" customHeight="1">
      <c r="A189" s="495" t="s">
        <v>63</v>
      </c>
      <c r="B189" s="217"/>
      <c r="C189" s="217"/>
      <c r="D189" s="403" t="s">
        <v>44</v>
      </c>
      <c r="E189" s="201">
        <f>E5</f>
        <v>0.315</v>
      </c>
      <c r="F189" s="125">
        <v>310</v>
      </c>
      <c r="G189" s="134">
        <f>E189*F189</f>
        <v>97.65</v>
      </c>
      <c r="H189" s="229">
        <v>330</v>
      </c>
      <c r="I189" s="124">
        <f>E189*H189</f>
        <v>103.95</v>
      </c>
      <c r="J189" s="63">
        <v>330</v>
      </c>
      <c r="K189" s="41">
        <f>E189*J189</f>
        <v>103.95</v>
      </c>
      <c r="L189" s="380" t="s">
        <v>80</v>
      </c>
      <c r="M189" s="202">
        <v>7.5</v>
      </c>
      <c r="N189" s="92">
        <v>1</v>
      </c>
      <c r="O189" s="79">
        <f t="shared" si="74"/>
        <v>7.5</v>
      </c>
      <c r="P189" s="83">
        <v>1</v>
      </c>
      <c r="Q189" s="79">
        <f t="shared" si="75"/>
        <v>7.5</v>
      </c>
      <c r="R189" s="270">
        <v>1</v>
      </c>
      <c r="S189" s="269">
        <f t="shared" si="76"/>
        <v>7.5</v>
      </c>
      <c r="T189" s="270">
        <v>1</v>
      </c>
      <c r="U189" s="269">
        <f t="shared" si="77"/>
        <v>7.5</v>
      </c>
    </row>
    <row r="190" spans="1:21" ht="18.75" customHeight="1">
      <c r="A190" s="495" t="s">
        <v>74</v>
      </c>
      <c r="B190" s="217"/>
      <c r="C190" s="217"/>
      <c r="D190" s="403"/>
      <c r="E190" s="201"/>
      <c r="F190" s="125"/>
      <c r="G190" s="124"/>
      <c r="H190" s="126"/>
      <c r="I190" s="124"/>
      <c r="J190" s="63"/>
      <c r="K190" s="41"/>
      <c r="L190" s="394" t="s">
        <v>74</v>
      </c>
      <c r="M190" s="201"/>
      <c r="N190" s="222"/>
      <c r="O190" s="79">
        <f t="shared" si="74"/>
        <v>0</v>
      </c>
      <c r="P190" s="223"/>
      <c r="Q190" s="79">
        <f t="shared" si="75"/>
        <v>0</v>
      </c>
      <c r="R190" s="288"/>
      <c r="S190" s="269">
        <f t="shared" si="76"/>
        <v>0</v>
      </c>
      <c r="T190" s="288"/>
      <c r="U190" s="269">
        <f t="shared" si="77"/>
        <v>0</v>
      </c>
    </row>
    <row r="191" spans="1:21" ht="18.75" customHeight="1">
      <c r="A191" s="499" t="s">
        <v>92</v>
      </c>
      <c r="B191" s="217"/>
      <c r="C191" s="217"/>
      <c r="D191" s="403" t="s">
        <v>11</v>
      </c>
      <c r="E191" s="199">
        <v>11</v>
      </c>
      <c r="F191" s="125">
        <v>1</v>
      </c>
      <c r="G191" s="124">
        <f>E191*F191</f>
        <v>11</v>
      </c>
      <c r="H191" s="126">
        <v>1</v>
      </c>
      <c r="I191" s="124">
        <f>E191*H191</f>
        <v>11</v>
      </c>
      <c r="J191" s="16">
        <v>1</v>
      </c>
      <c r="K191" s="41">
        <f>E191*J191</f>
        <v>11</v>
      </c>
      <c r="L191" s="380"/>
      <c r="M191" s="199">
        <v>0</v>
      </c>
      <c r="N191" s="92">
        <v>0</v>
      </c>
      <c r="O191" s="79">
        <f t="shared" si="74"/>
        <v>0</v>
      </c>
      <c r="P191" s="83">
        <v>0</v>
      </c>
      <c r="Q191" s="79">
        <f t="shared" si="75"/>
        <v>0</v>
      </c>
      <c r="R191" s="270">
        <v>0</v>
      </c>
      <c r="S191" s="269">
        <f t="shared" si="76"/>
        <v>0</v>
      </c>
      <c r="T191" s="270">
        <v>0</v>
      </c>
      <c r="U191" s="269">
        <f t="shared" si="77"/>
        <v>0</v>
      </c>
    </row>
    <row r="192" spans="1:34" s="32" customFormat="1" ht="18.75" customHeight="1">
      <c r="A192" s="495" t="s">
        <v>75</v>
      </c>
      <c r="B192" s="217"/>
      <c r="C192" s="217"/>
      <c r="D192" s="403" t="s">
        <v>76</v>
      </c>
      <c r="E192" s="198">
        <v>1.21</v>
      </c>
      <c r="F192" s="128">
        <f>(F185*5)/1000</f>
        <v>70</v>
      </c>
      <c r="G192" s="124">
        <f>F192*E192</f>
        <v>84.7</v>
      </c>
      <c r="H192" s="128">
        <f>(H185*5)/1000</f>
        <v>89.5</v>
      </c>
      <c r="I192" s="124">
        <f>H192*E192</f>
        <v>108.295</v>
      </c>
      <c r="J192" s="38">
        <f>(J185*5)/1000</f>
        <v>109</v>
      </c>
      <c r="K192" s="41">
        <f>J192*E192</f>
        <v>131.89</v>
      </c>
      <c r="L192" s="380"/>
      <c r="M192" s="198">
        <v>1.21</v>
      </c>
      <c r="N192" s="94">
        <f>(N185*5)/1000</f>
        <v>70</v>
      </c>
      <c r="O192" s="79">
        <f t="shared" si="74"/>
        <v>84.7</v>
      </c>
      <c r="P192" s="94">
        <f>(P185*5)/1000</f>
        <v>70</v>
      </c>
      <c r="Q192" s="79">
        <f t="shared" si="75"/>
        <v>84.7</v>
      </c>
      <c r="R192" s="280">
        <f>(R185*5)/1000</f>
        <v>70</v>
      </c>
      <c r="S192" s="269">
        <f t="shared" si="76"/>
        <v>84.7</v>
      </c>
      <c r="T192" s="280">
        <f>(T185*5)/1000</f>
        <v>70</v>
      </c>
      <c r="U192" s="269">
        <f t="shared" si="77"/>
        <v>84.7</v>
      </c>
      <c r="V192"/>
      <c r="W192" s="7"/>
      <c r="X192" s="7"/>
      <c r="Y192" s="7"/>
      <c r="Z192" s="7"/>
      <c r="AA192" s="7"/>
      <c r="AB192" s="56"/>
      <c r="AC192" s="7"/>
      <c r="AD192" s="52"/>
      <c r="AE192" s="7"/>
      <c r="AF192" s="7"/>
      <c r="AG192" s="7"/>
      <c r="AH192"/>
    </row>
    <row r="193" spans="1:21" ht="18.75" customHeight="1">
      <c r="A193" s="495" t="s">
        <v>77</v>
      </c>
      <c r="B193" s="217"/>
      <c r="C193" s="217"/>
      <c r="D193" s="403" t="s">
        <v>44</v>
      </c>
      <c r="E193" s="198">
        <v>2.49</v>
      </c>
      <c r="F193" s="139">
        <f>(F185*0.3)/1000</f>
        <v>4.2</v>
      </c>
      <c r="G193" s="124">
        <f>F193*E193</f>
        <v>10.458000000000002</v>
      </c>
      <c r="H193" s="139">
        <f>(H185*0.3)/1000</f>
        <v>5.37</v>
      </c>
      <c r="I193" s="124">
        <f>H193*E193</f>
        <v>13.371300000000002</v>
      </c>
      <c r="J193" s="39">
        <f>(J185*0.3)/1000</f>
        <v>6.54</v>
      </c>
      <c r="K193" s="41">
        <f>J193*E193</f>
        <v>16.2846</v>
      </c>
      <c r="L193" s="380"/>
      <c r="M193" s="198">
        <v>2.49</v>
      </c>
      <c r="N193" s="102">
        <f>(N185*0.3)/1000</f>
        <v>4.2</v>
      </c>
      <c r="O193" s="79">
        <f t="shared" si="74"/>
        <v>10.458000000000002</v>
      </c>
      <c r="P193" s="102">
        <f>(P185*0.3)/1000</f>
        <v>4.2</v>
      </c>
      <c r="Q193" s="79">
        <f t="shared" si="75"/>
        <v>10.458000000000002</v>
      </c>
      <c r="R193" s="289">
        <f>(R185*0.3)/1000</f>
        <v>4.2</v>
      </c>
      <c r="S193" s="269">
        <f t="shared" si="76"/>
        <v>10.458000000000002</v>
      </c>
      <c r="T193" s="289">
        <f>(T185*0.3)/1000</f>
        <v>4.2</v>
      </c>
      <c r="U193" s="269">
        <f t="shared" si="77"/>
        <v>10.458000000000002</v>
      </c>
    </row>
    <row r="194" spans="1:21" ht="18.75" customHeight="1">
      <c r="A194" s="495" t="s">
        <v>49</v>
      </c>
      <c r="B194" s="217"/>
      <c r="C194" s="217"/>
      <c r="D194" s="403" t="s">
        <v>50</v>
      </c>
      <c r="E194" s="198">
        <v>7.6</v>
      </c>
      <c r="F194" s="125">
        <v>8</v>
      </c>
      <c r="G194" s="124">
        <f>E194*F194</f>
        <v>60.8</v>
      </c>
      <c r="H194" s="126">
        <v>10</v>
      </c>
      <c r="I194" s="124">
        <f>E194*H194</f>
        <v>76</v>
      </c>
      <c r="J194" s="16">
        <v>12</v>
      </c>
      <c r="K194" s="41">
        <f>E194*J194</f>
        <v>91.19999999999999</v>
      </c>
      <c r="L194" s="380"/>
      <c r="M194" s="198">
        <v>7.6</v>
      </c>
      <c r="N194" s="92">
        <v>8</v>
      </c>
      <c r="O194" s="79">
        <f t="shared" si="74"/>
        <v>60.8</v>
      </c>
      <c r="P194" s="83">
        <v>10</v>
      </c>
      <c r="Q194" s="79">
        <f t="shared" si="75"/>
        <v>76</v>
      </c>
      <c r="R194" s="270">
        <v>12</v>
      </c>
      <c r="S194" s="269">
        <f t="shared" si="76"/>
        <v>91.19999999999999</v>
      </c>
      <c r="T194" s="270">
        <v>12</v>
      </c>
      <c r="U194" s="269">
        <f t="shared" si="77"/>
        <v>91.19999999999999</v>
      </c>
    </row>
    <row r="195" spans="1:21" ht="18.75" customHeight="1">
      <c r="A195" s="495" t="s">
        <v>54</v>
      </c>
      <c r="B195" s="217"/>
      <c r="C195" s="217"/>
      <c r="D195" s="403" t="s">
        <v>42</v>
      </c>
      <c r="E195" s="122">
        <v>0.5</v>
      </c>
      <c r="F195" s="127">
        <f>(SUM(G186:G194)+139)</f>
        <v>608.148</v>
      </c>
      <c r="G195" s="124"/>
      <c r="H195" s="128">
        <f>(SUM(I186:I194)+167)</f>
        <v>675.9163000000001</v>
      </c>
      <c r="I195" s="124"/>
      <c r="J195" s="38">
        <f>(SUM(K186:K194)+195)</f>
        <v>786.8245999999999</v>
      </c>
      <c r="K195" s="41"/>
      <c r="L195" s="380"/>
      <c r="M195" s="90">
        <v>0.5</v>
      </c>
      <c r="N195" s="93">
        <f>(SUM(O186:O194)+139)</f>
        <v>345.158</v>
      </c>
      <c r="O195" s="91"/>
      <c r="P195" s="94">
        <f>(SUM(Q186:Q194)+167)</f>
        <v>400.558</v>
      </c>
      <c r="Q195" s="91"/>
      <c r="R195" s="280">
        <f>(SUM(S186:S194)+195)</f>
        <v>443.758</v>
      </c>
      <c r="S195" s="279"/>
      <c r="T195" s="280">
        <f>(SUM(U186:U194)+195)</f>
        <v>443.758</v>
      </c>
      <c r="U195" s="269"/>
    </row>
    <row r="196" spans="1:21" ht="18.75" customHeight="1" thickBot="1">
      <c r="A196" s="495" t="s">
        <v>56</v>
      </c>
      <c r="B196" s="217"/>
      <c r="C196" s="217"/>
      <c r="D196" s="403" t="s">
        <v>42</v>
      </c>
      <c r="E196" s="122">
        <v>0.05</v>
      </c>
      <c r="F196" s="127">
        <f>+E195*F195</f>
        <v>304.074</v>
      </c>
      <c r="G196" s="124">
        <f>E196*F196</f>
        <v>15.203700000000001</v>
      </c>
      <c r="H196" s="128">
        <f>+E195*H195</f>
        <v>337.95815000000005</v>
      </c>
      <c r="I196" s="124">
        <f>E196*H196</f>
        <v>16.897907500000002</v>
      </c>
      <c r="J196" s="38">
        <f>+E195*J195</f>
        <v>393.41229999999996</v>
      </c>
      <c r="K196" s="41">
        <f>E196*J196</f>
        <v>19.670614999999998</v>
      </c>
      <c r="L196" s="380"/>
      <c r="M196" s="90">
        <v>0.05</v>
      </c>
      <c r="N196" s="93">
        <f>+M195*N195</f>
        <v>172.579</v>
      </c>
      <c r="O196" s="91">
        <f>M196*N196</f>
        <v>8.628950000000001</v>
      </c>
      <c r="P196" s="94">
        <f>+M195*P195</f>
        <v>200.279</v>
      </c>
      <c r="Q196" s="91">
        <f>M196*P196</f>
        <v>10.013950000000001</v>
      </c>
      <c r="R196" s="280">
        <f>+M195*R195</f>
        <v>221.879</v>
      </c>
      <c r="S196" s="279">
        <f>M196*R196</f>
        <v>11.09395</v>
      </c>
      <c r="T196" s="272">
        <f>+M195*T195</f>
        <v>221.879</v>
      </c>
      <c r="U196" s="269">
        <f t="shared" si="77"/>
        <v>11.09395</v>
      </c>
    </row>
    <row r="197" spans="1:21" ht="18.75" customHeight="1" thickBot="1">
      <c r="A197" s="171" t="s">
        <v>59</v>
      </c>
      <c r="B197" s="214"/>
      <c r="C197" s="214"/>
      <c r="D197" s="193"/>
      <c r="E197" s="190"/>
      <c r="F197" s="174"/>
      <c r="G197" s="192">
        <f>SUM(G186:G196)</f>
        <v>484.35170000000005</v>
      </c>
      <c r="H197" s="172"/>
      <c r="I197" s="175">
        <f>SUM(I186:I196)</f>
        <v>525.8142075000001</v>
      </c>
      <c r="J197" s="176"/>
      <c r="K197" s="195">
        <f>SUM(K186:K196)</f>
        <v>611.4952149999999</v>
      </c>
      <c r="L197" s="395"/>
      <c r="M197" s="177"/>
      <c r="N197" s="196"/>
      <c r="O197" s="194">
        <f>SUM(O186:O196)</f>
        <v>214.78695000000002</v>
      </c>
      <c r="P197" s="180"/>
      <c r="Q197" s="179">
        <f>SUM(Q186:Q196)</f>
        <v>243.57195</v>
      </c>
      <c r="R197" s="444"/>
      <c r="S197" s="445">
        <f>SUM(S186:S196)</f>
        <v>259.85195</v>
      </c>
      <c r="T197" s="444"/>
      <c r="U197" s="445">
        <f>SUM(U186:U196)</f>
        <v>259.85195</v>
      </c>
    </row>
    <row r="198" spans="1:21" ht="18.75" customHeight="1">
      <c r="A198" s="220"/>
      <c r="B198" s="217"/>
      <c r="C198" s="217"/>
      <c r="D198" s="407" t="s">
        <v>39</v>
      </c>
      <c r="E198" s="42" t="s">
        <v>40</v>
      </c>
      <c r="F198" s="61" t="s">
        <v>41</v>
      </c>
      <c r="G198" s="64" t="s">
        <v>42</v>
      </c>
      <c r="H198" s="60" t="s">
        <v>43</v>
      </c>
      <c r="I198" s="59" t="s">
        <v>42</v>
      </c>
      <c r="J198" s="61" t="s">
        <v>41</v>
      </c>
      <c r="K198" s="64" t="s">
        <v>42</v>
      </c>
      <c r="L198" s="385"/>
      <c r="M198" s="42" t="s">
        <v>40</v>
      </c>
      <c r="N198" s="61" t="s">
        <v>41</v>
      </c>
      <c r="O198" s="64" t="s">
        <v>42</v>
      </c>
      <c r="P198" s="60" t="s">
        <v>43</v>
      </c>
      <c r="Q198" s="59" t="s">
        <v>42</v>
      </c>
      <c r="R198" s="61" t="s">
        <v>41</v>
      </c>
      <c r="S198" s="62" t="s">
        <v>42</v>
      </c>
      <c r="T198" s="61" t="s">
        <v>41</v>
      </c>
      <c r="U198" s="62" t="s">
        <v>42</v>
      </c>
    </row>
    <row r="199" spans="1:21" ht="18.75" customHeight="1">
      <c r="A199" s="497" t="s">
        <v>177</v>
      </c>
      <c r="B199" s="451"/>
      <c r="C199" s="451"/>
      <c r="D199" s="482"/>
      <c r="E199" s="483"/>
      <c r="F199" s="484"/>
      <c r="G199" s="453"/>
      <c r="H199" s="485"/>
      <c r="I199" s="453"/>
      <c r="J199" s="485"/>
      <c r="K199" s="486"/>
      <c r="L199" s="450"/>
      <c r="M199" s="483"/>
      <c r="N199" s="484"/>
      <c r="O199" s="453"/>
      <c r="P199" s="485"/>
      <c r="Q199" s="453"/>
      <c r="R199" s="485"/>
      <c r="S199" s="502"/>
      <c r="T199" s="485"/>
      <c r="U199" s="502"/>
    </row>
    <row r="200" spans="1:21" ht="18.75" customHeight="1">
      <c r="A200" s="495" t="s">
        <v>33</v>
      </c>
      <c r="B200" s="217"/>
      <c r="C200" s="217"/>
      <c r="D200" s="402"/>
      <c r="E200" s="122"/>
      <c r="F200" s="123"/>
      <c r="G200" s="124"/>
      <c r="H200" s="125"/>
      <c r="I200" s="124"/>
      <c r="J200" s="37"/>
      <c r="K200" s="41"/>
      <c r="L200" s="380"/>
      <c r="M200" s="90"/>
      <c r="N200" s="82"/>
      <c r="O200" s="91"/>
      <c r="P200" s="92"/>
      <c r="Q200" s="91"/>
      <c r="R200" s="278"/>
      <c r="S200" s="279"/>
      <c r="T200" s="278"/>
      <c r="U200" s="279"/>
    </row>
    <row r="201" spans="1:21" ht="18.75" customHeight="1">
      <c r="A201" s="495" t="s">
        <v>72</v>
      </c>
      <c r="B201" s="217"/>
      <c r="C201" s="503" t="s">
        <v>150</v>
      </c>
      <c r="D201" s="403" t="s">
        <v>44</v>
      </c>
      <c r="E201" s="198">
        <v>4.2</v>
      </c>
      <c r="F201" s="125">
        <v>10</v>
      </c>
      <c r="G201" s="134">
        <f>E201*F201</f>
        <v>42</v>
      </c>
      <c r="H201" s="229">
        <v>10</v>
      </c>
      <c r="I201" s="124">
        <f>E201*H201</f>
        <v>42</v>
      </c>
      <c r="J201" s="16">
        <v>10</v>
      </c>
      <c r="K201" s="41">
        <f>E201*J201</f>
        <v>42</v>
      </c>
      <c r="L201" s="393" t="s">
        <v>150</v>
      </c>
      <c r="M201" s="198">
        <v>5.2</v>
      </c>
      <c r="N201" s="82">
        <v>10</v>
      </c>
      <c r="O201" s="81">
        <f>M201*N201</f>
        <v>52</v>
      </c>
      <c r="P201" s="229">
        <v>20</v>
      </c>
      <c r="Q201" s="79">
        <f>M201*P201</f>
        <v>104</v>
      </c>
      <c r="R201" s="374">
        <v>12.5</v>
      </c>
      <c r="S201" s="269">
        <f>M201*R201</f>
        <v>65</v>
      </c>
      <c r="T201" s="374">
        <v>12.5</v>
      </c>
      <c r="U201" s="269">
        <f aca="true" t="shared" si="78" ref="U201:U206">M201*T201</f>
        <v>65</v>
      </c>
    </row>
    <row r="202" spans="1:21" ht="18.75" customHeight="1">
      <c r="A202" s="220"/>
      <c r="B202" s="217"/>
      <c r="C202" s="217"/>
      <c r="D202" s="409"/>
      <c r="E202" s="202"/>
      <c r="F202" s="125">
        <v>0</v>
      </c>
      <c r="G202" s="115">
        <f>E202*F202</f>
        <v>0</v>
      </c>
      <c r="H202" s="229">
        <v>0</v>
      </c>
      <c r="I202" s="112">
        <f>E202*H202</f>
        <v>0</v>
      </c>
      <c r="J202" s="16">
        <v>0</v>
      </c>
      <c r="K202" s="35">
        <f>E202*J202</f>
        <v>0</v>
      </c>
      <c r="L202" s="387"/>
      <c r="M202" s="202"/>
      <c r="N202" s="82"/>
      <c r="O202" s="98">
        <f>M202*N202</f>
        <v>0</v>
      </c>
      <c r="P202" s="228"/>
      <c r="Q202" s="79">
        <f>M202*P202</f>
        <v>0</v>
      </c>
      <c r="R202" s="373"/>
      <c r="S202" s="269">
        <f>M202*R202</f>
        <v>0</v>
      </c>
      <c r="T202" s="373"/>
      <c r="U202" s="269">
        <f t="shared" si="78"/>
        <v>0</v>
      </c>
    </row>
    <row r="203" spans="1:21" ht="18.75" customHeight="1">
      <c r="A203" s="220"/>
      <c r="B203" s="217"/>
      <c r="C203" s="217"/>
      <c r="D203" s="403"/>
      <c r="E203" s="198"/>
      <c r="F203" s="139"/>
      <c r="G203" s="124"/>
      <c r="H203" s="139"/>
      <c r="I203" s="124"/>
      <c r="J203" s="39"/>
      <c r="K203" s="41"/>
      <c r="L203" s="380" t="s">
        <v>80</v>
      </c>
      <c r="M203" s="202">
        <v>7.5</v>
      </c>
      <c r="N203" s="82">
        <v>1</v>
      </c>
      <c r="O203" s="79">
        <f>M203*N203</f>
        <v>7.5</v>
      </c>
      <c r="P203" s="83">
        <v>1</v>
      </c>
      <c r="Q203" s="79">
        <f>M203*P203</f>
        <v>7.5</v>
      </c>
      <c r="R203" s="270">
        <v>1</v>
      </c>
      <c r="S203" s="269">
        <f>M203*R203</f>
        <v>7.5</v>
      </c>
      <c r="T203" s="270">
        <v>1</v>
      </c>
      <c r="U203" s="269">
        <f t="shared" si="78"/>
        <v>7.5</v>
      </c>
    </row>
    <row r="204" spans="1:34" s="32" customFormat="1" ht="18.75" customHeight="1">
      <c r="A204" s="495" t="s">
        <v>49</v>
      </c>
      <c r="B204" s="217"/>
      <c r="C204" s="217"/>
      <c r="D204" s="403" t="s">
        <v>50</v>
      </c>
      <c r="E204" s="198">
        <v>7.6</v>
      </c>
      <c r="F204" s="125">
        <v>3</v>
      </c>
      <c r="G204" s="124">
        <f>E204*F204</f>
        <v>22.799999999999997</v>
      </c>
      <c r="H204" s="229">
        <v>3</v>
      </c>
      <c r="I204" s="124">
        <f>E204*H204</f>
        <v>22.799999999999997</v>
      </c>
      <c r="J204" s="16">
        <v>3</v>
      </c>
      <c r="K204" s="41">
        <f>E204*J204</f>
        <v>22.799999999999997</v>
      </c>
      <c r="L204" s="380"/>
      <c r="M204" s="198">
        <v>7.6</v>
      </c>
      <c r="N204" s="82">
        <v>3</v>
      </c>
      <c r="O204" s="79">
        <f>M204*N204</f>
        <v>22.799999999999997</v>
      </c>
      <c r="P204" s="229">
        <v>3</v>
      </c>
      <c r="Q204" s="79">
        <f>M204*P204</f>
        <v>22.799999999999997</v>
      </c>
      <c r="R204" s="374">
        <v>3</v>
      </c>
      <c r="S204" s="269">
        <f>M204*R204</f>
        <v>22.799999999999997</v>
      </c>
      <c r="T204" s="374">
        <v>3</v>
      </c>
      <c r="U204" s="269">
        <f t="shared" si="78"/>
        <v>22.799999999999997</v>
      </c>
      <c r="V204"/>
      <c r="W204" s="7"/>
      <c r="X204" s="7"/>
      <c r="Y204" s="7"/>
      <c r="Z204" s="7"/>
      <c r="AA204" s="7"/>
      <c r="AB204" s="56"/>
      <c r="AC204" s="7"/>
      <c r="AD204" s="52"/>
      <c r="AE204" s="7"/>
      <c r="AF204" s="7"/>
      <c r="AG204" s="7"/>
      <c r="AH204"/>
    </row>
    <row r="205" spans="1:21" ht="18.75" customHeight="1">
      <c r="A205" s="495" t="s">
        <v>54</v>
      </c>
      <c r="B205" s="217"/>
      <c r="C205" s="217"/>
      <c r="D205" s="403" t="s">
        <v>42</v>
      </c>
      <c r="E205" s="122">
        <v>0.5</v>
      </c>
      <c r="F205" s="127">
        <f>(SUM(G200:G204)+27.8)</f>
        <v>92.6</v>
      </c>
      <c r="G205" s="124"/>
      <c r="H205" s="128">
        <f>(SUM(I200:I204)+27.8)</f>
        <v>92.6</v>
      </c>
      <c r="I205" s="124"/>
      <c r="J205" s="38">
        <f>(SUM(K200:K204)+27.8)</f>
        <v>92.6</v>
      </c>
      <c r="K205" s="41"/>
      <c r="L205" s="380"/>
      <c r="M205" s="90">
        <v>0.5</v>
      </c>
      <c r="N205" s="93">
        <f>(SUM(O200:O204)+42)</f>
        <v>124.3</v>
      </c>
      <c r="O205" s="91"/>
      <c r="P205" s="94">
        <f>(SUM(Q200:Q204)+42)</f>
        <v>176.3</v>
      </c>
      <c r="Q205" s="91"/>
      <c r="R205" s="280">
        <f>(SUM(S200:S204)+42)</f>
        <v>137.3</v>
      </c>
      <c r="S205" s="279"/>
      <c r="T205" s="280">
        <f>(SUM(U200:U204)+42)</f>
        <v>137.3</v>
      </c>
      <c r="U205" s="269"/>
    </row>
    <row r="206" spans="1:21" ht="18.75" customHeight="1" thickBot="1">
      <c r="A206" s="504" t="s">
        <v>56</v>
      </c>
      <c r="B206" s="217"/>
      <c r="C206" s="217"/>
      <c r="D206" s="404" t="s">
        <v>42</v>
      </c>
      <c r="E206" s="118">
        <v>0.05</v>
      </c>
      <c r="F206" s="129">
        <f>+E205*F205</f>
        <v>46.3</v>
      </c>
      <c r="G206" s="130">
        <f>E206*F206</f>
        <v>2.315</v>
      </c>
      <c r="H206" s="131">
        <f>+E205*H205</f>
        <v>46.3</v>
      </c>
      <c r="I206" s="130">
        <f>E206*H206</f>
        <v>2.315</v>
      </c>
      <c r="J206" s="29">
        <f>+E205*J205</f>
        <v>46.3</v>
      </c>
      <c r="K206" s="370">
        <f>E206*J206</f>
        <v>2.315</v>
      </c>
      <c r="L206" s="380"/>
      <c r="M206" s="86">
        <v>0.05</v>
      </c>
      <c r="N206" s="95">
        <f>+M205*N205</f>
        <v>62.15</v>
      </c>
      <c r="O206" s="96">
        <f>M206*N206</f>
        <v>3.1075</v>
      </c>
      <c r="P206" s="97">
        <f>+M205*P205</f>
        <v>88.15</v>
      </c>
      <c r="Q206" s="96">
        <f>M206*P206</f>
        <v>4.407500000000001</v>
      </c>
      <c r="R206" s="280">
        <f>+M205*R205</f>
        <v>68.65</v>
      </c>
      <c r="S206" s="279">
        <f>M206*R206</f>
        <v>3.4325000000000006</v>
      </c>
      <c r="T206" s="272">
        <f>+M205*T205</f>
        <v>68.65</v>
      </c>
      <c r="U206" s="269">
        <f t="shared" si="78"/>
        <v>3.4325000000000006</v>
      </c>
    </row>
    <row r="207" spans="1:21" ht="18.75" thickBot="1">
      <c r="A207" s="171" t="s">
        <v>59</v>
      </c>
      <c r="B207" s="214"/>
      <c r="C207" s="214"/>
      <c r="D207" s="193"/>
      <c r="E207" s="190"/>
      <c r="F207" s="191"/>
      <c r="G207" s="175">
        <f>SUM(G200:G206)</f>
        <v>67.115</v>
      </c>
      <c r="H207" s="172"/>
      <c r="I207" s="175">
        <f>SUM(I200:I206)</f>
        <v>67.115</v>
      </c>
      <c r="J207" s="176"/>
      <c r="K207" s="195">
        <f>SUM(K200:K206)</f>
        <v>67.115</v>
      </c>
      <c r="L207" s="395"/>
      <c r="M207" s="177"/>
      <c r="N207" s="178"/>
      <c r="O207" s="179">
        <f>SUM(O200:O206)</f>
        <v>85.4075</v>
      </c>
      <c r="P207" s="180"/>
      <c r="Q207" s="194">
        <f>SUM(Q200:Q206)</f>
        <v>138.7075</v>
      </c>
      <c r="R207" s="446"/>
      <c r="S207" s="445">
        <f>SUM(S200:S206)</f>
        <v>98.7325</v>
      </c>
      <c r="T207" s="446"/>
      <c r="U207" s="445">
        <f>SUM(U200:U206)</f>
        <v>98.7325</v>
      </c>
    </row>
    <row r="208" spans="1:21" ht="15.75">
      <c r="A208" s="220"/>
      <c r="B208" s="217"/>
      <c r="C208" s="217"/>
      <c r="D208" s="407" t="s">
        <v>39</v>
      </c>
      <c r="E208" s="42" t="s">
        <v>40</v>
      </c>
      <c r="F208" s="58" t="s">
        <v>41</v>
      </c>
      <c r="G208" s="59" t="s">
        <v>42</v>
      </c>
      <c r="H208" s="61" t="s">
        <v>43</v>
      </c>
      <c r="I208" s="59" t="s">
        <v>42</v>
      </c>
      <c r="J208" s="61" t="s">
        <v>41</v>
      </c>
      <c r="K208" s="64" t="s">
        <v>42</v>
      </c>
      <c r="L208" s="391"/>
      <c r="M208" s="42" t="s">
        <v>40</v>
      </c>
      <c r="N208" s="58" t="s">
        <v>41</v>
      </c>
      <c r="O208" s="59" t="s">
        <v>42</v>
      </c>
      <c r="P208" s="61" t="s">
        <v>43</v>
      </c>
      <c r="Q208" s="59" t="s">
        <v>42</v>
      </c>
      <c r="R208" s="61" t="s">
        <v>41</v>
      </c>
      <c r="S208" s="62" t="s">
        <v>42</v>
      </c>
      <c r="T208" s="61" t="s">
        <v>41</v>
      </c>
      <c r="U208" s="62" t="s">
        <v>42</v>
      </c>
    </row>
    <row r="209" spans="1:21" ht="18.75">
      <c r="A209" s="497" t="s">
        <v>105</v>
      </c>
      <c r="B209" s="454"/>
      <c r="C209" s="454"/>
      <c r="D209" s="475" t="s">
        <v>44</v>
      </c>
      <c r="E209" s="476"/>
      <c r="F209" s="477">
        <v>4000</v>
      </c>
      <c r="G209" s="478"/>
      <c r="H209" s="475">
        <v>5000</v>
      </c>
      <c r="I209" s="478"/>
      <c r="J209" s="475">
        <v>6000</v>
      </c>
      <c r="K209" s="478"/>
      <c r="L209" s="479"/>
      <c r="M209" s="476"/>
      <c r="N209" s="477">
        <v>4000</v>
      </c>
      <c r="O209" s="478"/>
      <c r="P209" s="475">
        <v>4000</v>
      </c>
      <c r="Q209" s="478"/>
      <c r="R209" s="475">
        <v>4000</v>
      </c>
      <c r="S209" s="498"/>
      <c r="T209" s="475">
        <v>4000</v>
      </c>
      <c r="U209" s="498"/>
    </row>
    <row r="210" spans="1:21" ht="18">
      <c r="A210" s="495" t="s">
        <v>33</v>
      </c>
      <c r="B210" s="217"/>
      <c r="C210" s="217"/>
      <c r="D210" s="402"/>
      <c r="E210" s="122"/>
      <c r="F210" s="123"/>
      <c r="G210" s="124"/>
      <c r="H210" s="125"/>
      <c r="I210" s="124"/>
      <c r="J210" s="37"/>
      <c r="K210" s="41"/>
      <c r="L210" s="380"/>
      <c r="M210" s="90"/>
      <c r="N210" s="82"/>
      <c r="O210" s="91"/>
      <c r="P210" s="92"/>
      <c r="Q210" s="91"/>
      <c r="R210" s="287"/>
      <c r="S210" s="277"/>
      <c r="T210" s="287"/>
      <c r="U210" s="277"/>
    </row>
    <row r="211" spans="1:21" ht="15.75">
      <c r="A211" s="495" t="s">
        <v>99</v>
      </c>
      <c r="B211" s="217"/>
      <c r="C211" s="217"/>
      <c r="D211" s="403" t="s">
        <v>44</v>
      </c>
      <c r="E211" s="198">
        <v>3.5</v>
      </c>
      <c r="F211" s="125">
        <v>9</v>
      </c>
      <c r="G211" s="124">
        <f>E211*F211</f>
        <v>31.5</v>
      </c>
      <c r="H211" s="229">
        <v>9</v>
      </c>
      <c r="I211" s="124">
        <f>E211*H211</f>
        <v>31.5</v>
      </c>
      <c r="J211" s="16">
        <v>9</v>
      </c>
      <c r="K211" s="41">
        <f>E211*J211</f>
        <v>31.5</v>
      </c>
      <c r="L211" s="387"/>
      <c r="M211" s="198">
        <v>4.5</v>
      </c>
      <c r="N211" s="92">
        <v>9</v>
      </c>
      <c r="O211" s="91">
        <f>M211*N211</f>
        <v>40.5</v>
      </c>
      <c r="P211" s="229">
        <v>9</v>
      </c>
      <c r="Q211" s="91">
        <f>M211*P211</f>
        <v>40.5</v>
      </c>
      <c r="R211" s="374">
        <v>9</v>
      </c>
      <c r="S211" s="279">
        <f>M211*R211</f>
        <v>40.5</v>
      </c>
      <c r="T211" s="374">
        <v>9</v>
      </c>
      <c r="U211" s="269">
        <f aca="true" t="shared" si="79" ref="U211:U220">M211*T211</f>
        <v>40.5</v>
      </c>
    </row>
    <row r="212" spans="1:21" ht="15.75">
      <c r="A212" s="495" t="s">
        <v>73</v>
      </c>
      <c r="B212" s="217"/>
      <c r="C212" s="217"/>
      <c r="D212" s="403" t="s">
        <v>44</v>
      </c>
      <c r="E212" s="201">
        <f>E9</f>
        <v>0.44</v>
      </c>
      <c r="F212" s="125">
        <v>390</v>
      </c>
      <c r="G212" s="124">
        <f>E212*F212</f>
        <v>171.6</v>
      </c>
      <c r="H212" s="229">
        <v>430</v>
      </c>
      <c r="I212" s="124">
        <f>E212*H212</f>
        <v>189.2</v>
      </c>
      <c r="J212" s="16">
        <v>450</v>
      </c>
      <c r="K212" s="41">
        <f>E212*J212</f>
        <v>198</v>
      </c>
      <c r="L212" s="387" t="s">
        <v>79</v>
      </c>
      <c r="M212" s="201">
        <f>E10</f>
        <v>0.265</v>
      </c>
      <c r="N212" s="92">
        <v>800</v>
      </c>
      <c r="O212" s="91">
        <f>M212*N212</f>
        <v>212</v>
      </c>
      <c r="P212" s="229">
        <v>1000</v>
      </c>
      <c r="Q212" s="91">
        <f>M212*P212</f>
        <v>265</v>
      </c>
      <c r="R212" s="374">
        <v>1200</v>
      </c>
      <c r="S212" s="279">
        <f>M212*R212</f>
        <v>318</v>
      </c>
      <c r="T212" s="374">
        <v>1200</v>
      </c>
      <c r="U212" s="269">
        <f t="shared" si="79"/>
        <v>318</v>
      </c>
    </row>
    <row r="213" spans="1:21" ht="15.75">
      <c r="A213" s="495" t="s">
        <v>63</v>
      </c>
      <c r="B213" s="217"/>
      <c r="C213" s="217"/>
      <c r="D213" s="403" t="s">
        <v>44</v>
      </c>
      <c r="E213" s="201">
        <f>E5</f>
        <v>0.315</v>
      </c>
      <c r="F213" s="125">
        <v>0</v>
      </c>
      <c r="G213" s="124">
        <f>E213*F213</f>
        <v>0</v>
      </c>
      <c r="H213" s="229">
        <v>0</v>
      </c>
      <c r="I213" s="124">
        <f>E213*H213</f>
        <v>0</v>
      </c>
      <c r="J213" s="16">
        <v>0</v>
      </c>
      <c r="K213" s="41">
        <f>E213*J213</f>
        <v>0</v>
      </c>
      <c r="L213" s="387" t="s">
        <v>80</v>
      </c>
      <c r="M213" s="202">
        <v>7.5</v>
      </c>
      <c r="N213" s="92">
        <v>1</v>
      </c>
      <c r="O213" s="79">
        <f>M213*N213</f>
        <v>7.5</v>
      </c>
      <c r="P213" s="83">
        <v>1</v>
      </c>
      <c r="Q213" s="79">
        <f>M213*P213</f>
        <v>7.5</v>
      </c>
      <c r="R213" s="270">
        <v>1</v>
      </c>
      <c r="S213" s="269">
        <f>M213*R213</f>
        <v>7.5</v>
      </c>
      <c r="T213" s="270">
        <v>1</v>
      </c>
      <c r="U213" s="269">
        <f t="shared" si="79"/>
        <v>7.5</v>
      </c>
    </row>
    <row r="214" spans="1:21" ht="15.75">
      <c r="A214" s="499" t="s">
        <v>92</v>
      </c>
      <c r="B214" s="217"/>
      <c r="C214" s="217"/>
      <c r="D214" s="403" t="s">
        <v>11</v>
      </c>
      <c r="E214" s="198">
        <v>11</v>
      </c>
      <c r="F214" s="125">
        <v>1</v>
      </c>
      <c r="G214" s="124">
        <f>E214*F214</f>
        <v>11</v>
      </c>
      <c r="H214" s="126">
        <v>1</v>
      </c>
      <c r="I214" s="124">
        <f>E214*H214</f>
        <v>11</v>
      </c>
      <c r="J214" s="16">
        <v>1</v>
      </c>
      <c r="K214" s="41">
        <f>E214*J214</f>
        <v>11</v>
      </c>
      <c r="L214" s="387"/>
      <c r="M214" s="198"/>
      <c r="N214" s="92">
        <v>1</v>
      </c>
      <c r="O214" s="91">
        <f>M214*N214</f>
        <v>0</v>
      </c>
      <c r="P214" s="83">
        <v>1</v>
      </c>
      <c r="Q214" s="91">
        <f>M214*P214</f>
        <v>0</v>
      </c>
      <c r="R214" s="270">
        <v>1</v>
      </c>
      <c r="S214" s="279">
        <f>M214*R214</f>
        <v>0</v>
      </c>
      <c r="T214" s="270">
        <v>1</v>
      </c>
      <c r="U214" s="269">
        <f t="shared" si="79"/>
        <v>0</v>
      </c>
    </row>
    <row r="215" spans="1:21" ht="15.75">
      <c r="A215" s="495" t="s">
        <v>106</v>
      </c>
      <c r="B215" s="217"/>
      <c r="C215" s="217"/>
      <c r="D215" s="403" t="s">
        <v>107</v>
      </c>
      <c r="E215" s="201">
        <f>'[1]Hinnat'!$I$18</f>
        <v>0.006</v>
      </c>
      <c r="F215" s="128">
        <v>1</v>
      </c>
      <c r="G215" s="124">
        <f>F215*E215</f>
        <v>0.006</v>
      </c>
      <c r="H215" s="128">
        <v>942</v>
      </c>
      <c r="I215" s="124">
        <f>H215*E215</f>
        <v>5.652</v>
      </c>
      <c r="J215" s="38" t="e">
        <f>10*0.01884*#REF!</f>
        <v>#REF!</v>
      </c>
      <c r="K215" s="41" t="e">
        <f>J215*E215</f>
        <v>#REF!</v>
      </c>
      <c r="L215" s="387"/>
      <c r="M215" s="201">
        <f>'[1]Hinnat'!$I$18</f>
        <v>0.006</v>
      </c>
      <c r="N215" s="94" t="e">
        <f>10*0.01884*#REF!</f>
        <v>#REF!</v>
      </c>
      <c r="O215" s="91" t="e">
        <f>N215*M215</f>
        <v>#REF!</v>
      </c>
      <c r="P215" s="94">
        <v>754</v>
      </c>
      <c r="Q215" s="91">
        <f>P215*M215</f>
        <v>4.524</v>
      </c>
      <c r="R215" s="280">
        <v>754</v>
      </c>
      <c r="S215" s="279">
        <f>R215*M215</f>
        <v>4.524</v>
      </c>
      <c r="T215" s="280">
        <v>754</v>
      </c>
      <c r="U215" s="269">
        <f t="shared" si="79"/>
        <v>4.524</v>
      </c>
    </row>
    <row r="216" spans="1:21" ht="15.75">
      <c r="A216" s="495" t="s">
        <v>75</v>
      </c>
      <c r="B216" s="217"/>
      <c r="C216" s="217"/>
      <c r="D216" s="403" t="s">
        <v>76</v>
      </c>
      <c r="E216" s="198">
        <v>0</v>
      </c>
      <c r="F216" s="128">
        <f>(D197*5)/1000</f>
        <v>0</v>
      </c>
      <c r="G216" s="124">
        <f>F216*E216</f>
        <v>0</v>
      </c>
      <c r="H216" s="128">
        <f>(F197*5)/1000</f>
        <v>0</v>
      </c>
      <c r="I216" s="124">
        <f>H216*E216</f>
        <v>0</v>
      </c>
      <c r="J216" s="38">
        <f>(H197*5)/1000</f>
        <v>0</v>
      </c>
      <c r="K216" s="41">
        <f>J216*E216</f>
        <v>0</v>
      </c>
      <c r="L216" s="387"/>
      <c r="M216" s="198">
        <v>0</v>
      </c>
      <c r="N216" s="94">
        <f>(L197*5)/1000</f>
        <v>0</v>
      </c>
      <c r="O216" s="91">
        <f>N216*M216</f>
        <v>0</v>
      </c>
      <c r="P216" s="94">
        <f>(N197*5)/1000</f>
        <v>0</v>
      </c>
      <c r="Q216" s="91">
        <f>P216*M216</f>
        <v>0</v>
      </c>
      <c r="R216" s="280">
        <f>(P197*5)/1000</f>
        <v>0</v>
      </c>
      <c r="S216" s="279">
        <f>R216*M216</f>
        <v>0</v>
      </c>
      <c r="T216" s="280">
        <f>(R197*5)/1000</f>
        <v>0</v>
      </c>
      <c r="U216" s="269">
        <f t="shared" si="79"/>
        <v>0</v>
      </c>
    </row>
    <row r="217" spans="1:21" ht="15.75">
      <c r="A217" s="495" t="s">
        <v>134</v>
      </c>
      <c r="B217" s="217"/>
      <c r="C217" s="217"/>
      <c r="D217" s="403" t="s">
        <v>44</v>
      </c>
      <c r="E217" s="198">
        <v>0</v>
      </c>
      <c r="F217" s="139">
        <f>(D197*0.3)/1000</f>
        <v>0</v>
      </c>
      <c r="G217" s="124">
        <f>F217*E217</f>
        <v>0</v>
      </c>
      <c r="H217" s="139">
        <f>(F197*0.3)/1000</f>
        <v>0</v>
      </c>
      <c r="I217" s="124">
        <f>H217*E217</f>
        <v>0</v>
      </c>
      <c r="J217" s="39">
        <f>(H197*0.3)/1000</f>
        <v>0</v>
      </c>
      <c r="K217" s="41">
        <f>J217*E217</f>
        <v>0</v>
      </c>
      <c r="L217" s="387"/>
      <c r="M217" s="198">
        <v>0</v>
      </c>
      <c r="N217" s="102">
        <f>(L197*0.3)/1000</f>
        <v>0</v>
      </c>
      <c r="O217" s="91">
        <f>N217*M217</f>
        <v>0</v>
      </c>
      <c r="P217" s="102">
        <f>(N197*0.3)/1000</f>
        <v>0</v>
      </c>
      <c r="Q217" s="91">
        <f>P217*M217</f>
        <v>0</v>
      </c>
      <c r="R217" s="289">
        <f>(P197*0.3)/1000</f>
        <v>0</v>
      </c>
      <c r="S217" s="279">
        <f>R217*M217</f>
        <v>0</v>
      </c>
      <c r="T217" s="289">
        <f>(R197*0.3)/1000</f>
        <v>0</v>
      </c>
      <c r="U217" s="269">
        <f t="shared" si="79"/>
        <v>0</v>
      </c>
    </row>
    <row r="218" spans="1:34" s="32" customFormat="1" ht="18.75" customHeight="1">
      <c r="A218" s="495" t="s">
        <v>49</v>
      </c>
      <c r="B218" s="217"/>
      <c r="C218" s="217"/>
      <c r="D218" s="403" t="s">
        <v>50</v>
      </c>
      <c r="E218" s="198">
        <v>6</v>
      </c>
      <c r="F218" s="125">
        <v>14</v>
      </c>
      <c r="G218" s="124">
        <f>E218*F218</f>
        <v>84</v>
      </c>
      <c r="H218" s="126">
        <v>15</v>
      </c>
      <c r="I218" s="124">
        <f>E218*H218</f>
        <v>90</v>
      </c>
      <c r="J218" s="16">
        <v>16</v>
      </c>
      <c r="K218" s="41">
        <f>E218*J218</f>
        <v>96</v>
      </c>
      <c r="L218" s="387"/>
      <c r="M218" s="198">
        <v>6</v>
      </c>
      <c r="N218" s="92">
        <v>14</v>
      </c>
      <c r="O218" s="91">
        <f>M218*N218</f>
        <v>84</v>
      </c>
      <c r="P218" s="83">
        <v>15</v>
      </c>
      <c r="Q218" s="91">
        <f>M218*P218</f>
        <v>90</v>
      </c>
      <c r="R218" s="270">
        <v>16</v>
      </c>
      <c r="S218" s="279">
        <f>M218*R218</f>
        <v>96</v>
      </c>
      <c r="T218" s="270">
        <v>16</v>
      </c>
      <c r="U218" s="269">
        <f t="shared" si="79"/>
        <v>96</v>
      </c>
      <c r="V218"/>
      <c r="W218" s="7"/>
      <c r="X218" s="7"/>
      <c r="Y218" s="7"/>
      <c r="Z218" s="7"/>
      <c r="AA218" s="7"/>
      <c r="AB218" s="56"/>
      <c r="AC218" s="7"/>
      <c r="AD218" s="52"/>
      <c r="AE218" s="7"/>
      <c r="AF218" s="7"/>
      <c r="AG218" s="7"/>
      <c r="AH218"/>
    </row>
    <row r="219" spans="1:21" ht="15.75">
      <c r="A219" s="495" t="s">
        <v>54</v>
      </c>
      <c r="B219" s="217"/>
      <c r="C219" s="217"/>
      <c r="D219" s="403" t="s">
        <v>42</v>
      </c>
      <c r="E219" s="138">
        <v>0.5</v>
      </c>
      <c r="F219" s="128">
        <f>(SUM(G211:G218)+236)</f>
        <v>534.106</v>
      </c>
      <c r="G219" s="124"/>
      <c r="H219" s="128">
        <f>(SUM(I211:I218)+236)</f>
        <v>563.352</v>
      </c>
      <c r="I219" s="124"/>
      <c r="J219" s="38">
        <f>(SUM(I209:I218)+264)</f>
        <v>591.352</v>
      </c>
      <c r="K219" s="41"/>
      <c r="L219" s="387"/>
      <c r="M219" s="90">
        <v>0.5</v>
      </c>
      <c r="N219" s="94">
        <f>(SUM(M209:M218)+209)</f>
        <v>227.27100000000002</v>
      </c>
      <c r="O219" s="91"/>
      <c r="P219" s="94">
        <f>(SUM(Q209:Q218)+236)</f>
        <v>643.524</v>
      </c>
      <c r="Q219" s="91"/>
      <c r="R219" s="280">
        <f>(SUM(Q209:Q218)+264)</f>
        <v>671.524</v>
      </c>
      <c r="S219" s="279"/>
      <c r="T219" s="280">
        <f>(SUM(S209:S218)+264)</f>
        <v>730.524</v>
      </c>
      <c r="U219" s="269"/>
    </row>
    <row r="220" spans="1:21" ht="16.5" thickBot="1">
      <c r="A220" s="499" t="s">
        <v>56</v>
      </c>
      <c r="B220" s="217"/>
      <c r="C220" s="217"/>
      <c r="D220" s="399" t="s">
        <v>42</v>
      </c>
      <c r="E220" s="197">
        <f>'[1]Hinnat'!$F$2</f>
        <v>0.05</v>
      </c>
      <c r="F220" s="117">
        <f>+E219*F219</f>
        <v>267.053</v>
      </c>
      <c r="G220" s="112">
        <f>E220*F220</f>
        <v>13.35265</v>
      </c>
      <c r="H220" s="117">
        <f>+E219*H219</f>
        <v>281.676</v>
      </c>
      <c r="I220" s="112">
        <f>E220*H220</f>
        <v>14.0838</v>
      </c>
      <c r="J220" s="36">
        <f>+E219*J219</f>
        <v>295.676</v>
      </c>
      <c r="K220" s="35">
        <f>E220*J220</f>
        <v>14.7838</v>
      </c>
      <c r="L220" s="387"/>
      <c r="M220" s="76">
        <f>'[1]Hinnat'!$F$2</f>
        <v>0.05</v>
      </c>
      <c r="N220" s="84">
        <f>+M219*N219</f>
        <v>113.63550000000001</v>
      </c>
      <c r="O220" s="79">
        <f>M220*N220</f>
        <v>5.681775000000001</v>
      </c>
      <c r="P220" s="85">
        <f>+M219*P219</f>
        <v>321.762</v>
      </c>
      <c r="Q220" s="79">
        <f>M220*P220</f>
        <v>16.0881</v>
      </c>
      <c r="R220" s="275">
        <f>+M219*R219</f>
        <v>335.762</v>
      </c>
      <c r="S220" s="276">
        <f>M220*R220</f>
        <v>16.7881</v>
      </c>
      <c r="T220" s="272">
        <f>+M219*T219</f>
        <v>365.262</v>
      </c>
      <c r="U220" s="269">
        <f t="shared" si="79"/>
        <v>18.2631</v>
      </c>
    </row>
    <row r="221" spans="1:21" ht="18.75" thickBot="1">
      <c r="A221" s="171" t="s">
        <v>59</v>
      </c>
      <c r="B221" s="214"/>
      <c r="C221" s="214"/>
      <c r="D221" s="193"/>
      <c r="E221" s="190"/>
      <c r="F221" s="191"/>
      <c r="G221" s="175">
        <f>SUM(G211:G220)</f>
        <v>311.45865</v>
      </c>
      <c r="H221" s="172"/>
      <c r="I221" s="175">
        <f>SUM(I211:I220)</f>
        <v>341.4358</v>
      </c>
      <c r="J221" s="176"/>
      <c r="K221" s="195" t="e">
        <f>SUM(K211:K220)</f>
        <v>#REF!</v>
      </c>
      <c r="L221" s="395"/>
      <c r="M221" s="177"/>
      <c r="N221" s="178"/>
      <c r="O221" s="179" t="e">
        <f>SUM(O211:O220)</f>
        <v>#REF!</v>
      </c>
      <c r="P221" s="180"/>
      <c r="Q221" s="179">
        <f>SUM(Q211:Q220)</f>
        <v>423.6121</v>
      </c>
      <c r="R221" s="290"/>
      <c r="S221" s="291">
        <f>SUM(S211:S220)</f>
        <v>483.3121</v>
      </c>
      <c r="T221" s="446"/>
      <c r="U221" s="445">
        <f>SUM(U211:U220)</f>
        <v>484.7871</v>
      </c>
    </row>
    <row r="222" spans="1:21" ht="15.75">
      <c r="A222" s="220"/>
      <c r="B222" s="217"/>
      <c r="C222" s="217"/>
      <c r="D222" s="407" t="s">
        <v>39</v>
      </c>
      <c r="E222" s="42" t="s">
        <v>40</v>
      </c>
      <c r="F222" s="58" t="s">
        <v>41</v>
      </c>
      <c r="G222" s="59" t="s">
        <v>42</v>
      </c>
      <c r="H222" s="60" t="s">
        <v>43</v>
      </c>
      <c r="I222" s="59" t="s">
        <v>42</v>
      </c>
      <c r="J222" s="61" t="s">
        <v>41</v>
      </c>
      <c r="K222" s="64" t="s">
        <v>42</v>
      </c>
      <c r="L222" s="385"/>
      <c r="M222" s="42" t="s">
        <v>40</v>
      </c>
      <c r="N222" s="58" t="s">
        <v>41</v>
      </c>
      <c r="O222" s="59" t="s">
        <v>42</v>
      </c>
      <c r="P222" s="60" t="s">
        <v>43</v>
      </c>
      <c r="Q222" s="59" t="s">
        <v>42</v>
      </c>
      <c r="R222" s="438" t="s">
        <v>41</v>
      </c>
      <c r="S222" s="439" t="s">
        <v>42</v>
      </c>
      <c r="T222" s="438" t="s">
        <v>41</v>
      </c>
      <c r="U222" s="439" t="s">
        <v>42</v>
      </c>
    </row>
    <row r="223" spans="1:21" ht="18.75">
      <c r="A223" s="497" t="s">
        <v>148</v>
      </c>
      <c r="B223" s="454"/>
      <c r="C223" s="454"/>
      <c r="D223" s="475" t="s">
        <v>44</v>
      </c>
      <c r="E223" s="480"/>
      <c r="F223" s="477">
        <v>2000</v>
      </c>
      <c r="G223" s="478"/>
      <c r="H223" s="475">
        <f>'[2]C1-alue'!D13</f>
        <v>2500</v>
      </c>
      <c r="I223" s="478"/>
      <c r="J223" s="475">
        <v>3000</v>
      </c>
      <c r="K223" s="478"/>
      <c r="L223" s="468"/>
      <c r="M223" s="480"/>
      <c r="N223" s="481">
        <v>1000</v>
      </c>
      <c r="O223" s="472"/>
      <c r="P223" s="462">
        <f>'B-alue'!D67</f>
        <v>1700</v>
      </c>
      <c r="Q223" s="472"/>
      <c r="R223" s="462">
        <f>'B-alue'!D28</f>
        <v>1700</v>
      </c>
      <c r="S223" s="498"/>
      <c r="T223" s="462">
        <f>'B-alue'!D45</f>
        <v>1700</v>
      </c>
      <c r="U223" s="498"/>
    </row>
    <row r="224" spans="1:21" ht="15.75">
      <c r="A224" s="495" t="s">
        <v>33</v>
      </c>
      <c r="B224" s="217"/>
      <c r="C224" s="217"/>
      <c r="D224" s="402"/>
      <c r="E224" s="122"/>
      <c r="F224" s="123"/>
      <c r="G224" s="124"/>
      <c r="H224" s="125"/>
      <c r="I224" s="124"/>
      <c r="J224" s="37"/>
      <c r="K224" s="41"/>
      <c r="L224" s="380"/>
      <c r="M224" s="90"/>
      <c r="N224" s="82"/>
      <c r="O224" s="91"/>
      <c r="P224" s="92"/>
      <c r="Q224" s="91"/>
      <c r="R224" s="278"/>
      <c r="S224" s="279"/>
      <c r="T224" s="278"/>
      <c r="U224" s="279"/>
    </row>
    <row r="225" spans="1:21" ht="15.75">
      <c r="A225" s="495" t="s">
        <v>69</v>
      </c>
      <c r="B225" s="217"/>
      <c r="C225" s="217"/>
      <c r="D225" s="403" t="s">
        <v>44</v>
      </c>
      <c r="E225" s="198">
        <v>4.9</v>
      </c>
      <c r="F225" s="125">
        <v>5</v>
      </c>
      <c r="G225" s="124">
        <f>E225*F225</f>
        <v>24.5</v>
      </c>
      <c r="H225" s="229">
        <v>5</v>
      </c>
      <c r="I225" s="124">
        <f>E225*H225</f>
        <v>24.5</v>
      </c>
      <c r="J225" s="16">
        <v>5</v>
      </c>
      <c r="K225" s="41">
        <f>E225*J225</f>
        <v>24.5</v>
      </c>
      <c r="L225" s="380"/>
      <c r="M225" s="198">
        <v>5.9</v>
      </c>
      <c r="N225" s="92">
        <v>5</v>
      </c>
      <c r="O225" s="79">
        <f aca="true" t="shared" si="80" ref="O225:O234">M225*N225</f>
        <v>29.5</v>
      </c>
      <c r="P225" s="229">
        <v>5</v>
      </c>
      <c r="Q225" s="79">
        <f aca="true" t="shared" si="81" ref="Q225:Q234">M225*P225</f>
        <v>29.5</v>
      </c>
      <c r="R225" s="374">
        <v>5</v>
      </c>
      <c r="S225" s="269">
        <f aca="true" t="shared" si="82" ref="S225:S234">M225*R225</f>
        <v>29.5</v>
      </c>
      <c r="T225" s="374">
        <v>5</v>
      </c>
      <c r="U225" s="269">
        <f aca="true" t="shared" si="83" ref="U225:U236">M225*T225</f>
        <v>29.5</v>
      </c>
    </row>
    <row r="226" spans="1:21" ht="15.75">
      <c r="A226" s="539" t="s">
        <v>174</v>
      </c>
      <c r="B226" s="217"/>
      <c r="C226" s="217"/>
      <c r="D226" s="403" t="s">
        <v>44</v>
      </c>
      <c r="E226" s="201">
        <f>E6</f>
        <v>0.462</v>
      </c>
      <c r="F226" s="125">
        <v>120</v>
      </c>
      <c r="G226" s="124">
        <f>E226*F226</f>
        <v>55.440000000000005</v>
      </c>
      <c r="H226" s="229">
        <v>150</v>
      </c>
      <c r="I226" s="124">
        <f>E226*H226</f>
        <v>69.3</v>
      </c>
      <c r="J226" s="16">
        <v>140</v>
      </c>
      <c r="K226" s="41">
        <f>E226*J226</f>
        <v>64.68</v>
      </c>
      <c r="L226" s="380" t="s">
        <v>79</v>
      </c>
      <c r="M226" s="203">
        <f>E10</f>
        <v>0.265</v>
      </c>
      <c r="N226" s="78">
        <v>0</v>
      </c>
      <c r="O226" s="79">
        <f t="shared" si="80"/>
        <v>0</v>
      </c>
      <c r="P226" s="225">
        <v>700</v>
      </c>
      <c r="Q226" s="79">
        <f t="shared" si="81"/>
        <v>185.5</v>
      </c>
      <c r="R226" s="372">
        <v>0</v>
      </c>
      <c r="S226" s="269">
        <f t="shared" si="82"/>
        <v>0</v>
      </c>
      <c r="T226" s="372">
        <v>0</v>
      </c>
      <c r="U226" s="269">
        <f t="shared" si="83"/>
        <v>0</v>
      </c>
    </row>
    <row r="227" spans="1:21" ht="15.75">
      <c r="A227" s="495" t="s">
        <v>63</v>
      </c>
      <c r="B227" s="217"/>
      <c r="C227" s="217"/>
      <c r="D227" s="403" t="s">
        <v>44</v>
      </c>
      <c r="E227" s="201">
        <f>E5</f>
        <v>0.315</v>
      </c>
      <c r="F227" s="125">
        <v>370</v>
      </c>
      <c r="G227" s="124">
        <f>F227*E227</f>
        <v>116.55</v>
      </c>
      <c r="H227" s="229">
        <v>370</v>
      </c>
      <c r="I227" s="124">
        <f>H227*E227</f>
        <v>116.55</v>
      </c>
      <c r="J227" s="16">
        <v>400</v>
      </c>
      <c r="K227" s="41">
        <f>J227*E227</f>
        <v>126</v>
      </c>
      <c r="L227" s="380"/>
      <c r="M227" s="201"/>
      <c r="N227" s="92"/>
      <c r="O227" s="79">
        <f t="shared" si="80"/>
        <v>0</v>
      </c>
      <c r="P227" s="83"/>
      <c r="Q227" s="79">
        <f t="shared" si="81"/>
        <v>0</v>
      </c>
      <c r="R227" s="270"/>
      <c r="S227" s="269">
        <f t="shared" si="82"/>
        <v>0</v>
      </c>
      <c r="T227" s="270"/>
      <c r="U227" s="269">
        <f t="shared" si="83"/>
        <v>0</v>
      </c>
    </row>
    <row r="228" spans="1:21" ht="15.75">
      <c r="A228" s="495" t="s">
        <v>47</v>
      </c>
      <c r="B228" s="217"/>
      <c r="C228" s="217"/>
      <c r="D228" s="403" t="s">
        <v>58</v>
      </c>
      <c r="E228" s="199">
        <v>44</v>
      </c>
      <c r="F228" s="125">
        <v>0</v>
      </c>
      <c r="G228" s="124">
        <f aca="true" t="shared" si="84" ref="G228:G234">E228*F228</f>
        <v>0</v>
      </c>
      <c r="H228" s="126">
        <v>0.25</v>
      </c>
      <c r="I228" s="124">
        <f aca="true" t="shared" si="85" ref="I228:I234">E228*H228</f>
        <v>11</v>
      </c>
      <c r="J228" s="16">
        <v>0.5</v>
      </c>
      <c r="K228" s="41">
        <f aca="true" t="shared" si="86" ref="K228:K234">E228*J228</f>
        <v>22</v>
      </c>
      <c r="L228" s="380"/>
      <c r="M228" s="199">
        <v>44</v>
      </c>
      <c r="N228" s="92">
        <v>0</v>
      </c>
      <c r="O228" s="79">
        <f t="shared" si="80"/>
        <v>0</v>
      </c>
      <c r="P228" s="83">
        <v>0</v>
      </c>
      <c r="Q228" s="79">
        <f t="shared" si="81"/>
        <v>0</v>
      </c>
      <c r="R228" s="270">
        <v>0.25</v>
      </c>
      <c r="S228" s="269">
        <f t="shared" si="82"/>
        <v>11</v>
      </c>
      <c r="T228" s="270">
        <v>0.25</v>
      </c>
      <c r="U228" s="269">
        <f t="shared" si="83"/>
        <v>11</v>
      </c>
    </row>
    <row r="229" spans="1:21" ht="15.75">
      <c r="A229" s="499" t="s">
        <v>92</v>
      </c>
      <c r="B229" s="217"/>
      <c r="C229" s="217"/>
      <c r="D229" s="399" t="s">
        <v>11</v>
      </c>
      <c r="E229" s="200">
        <v>62</v>
      </c>
      <c r="F229" s="125">
        <v>1</v>
      </c>
      <c r="G229" s="124">
        <f t="shared" si="84"/>
        <v>62</v>
      </c>
      <c r="H229" s="126">
        <v>1</v>
      </c>
      <c r="I229" s="124">
        <f t="shared" si="85"/>
        <v>62</v>
      </c>
      <c r="J229" s="16">
        <v>1</v>
      </c>
      <c r="K229" s="41">
        <f t="shared" si="86"/>
        <v>62</v>
      </c>
      <c r="L229" s="380" t="s">
        <v>81</v>
      </c>
      <c r="M229" s="200">
        <v>0</v>
      </c>
      <c r="N229" s="92">
        <v>0</v>
      </c>
      <c r="O229" s="79">
        <f t="shared" si="80"/>
        <v>0</v>
      </c>
      <c r="P229" s="83">
        <v>0</v>
      </c>
      <c r="Q229" s="79">
        <f t="shared" si="81"/>
        <v>0</v>
      </c>
      <c r="R229" s="270">
        <v>0</v>
      </c>
      <c r="S229" s="269">
        <f t="shared" si="82"/>
        <v>0</v>
      </c>
      <c r="T229" s="270">
        <v>0</v>
      </c>
      <c r="U229" s="269">
        <f t="shared" si="83"/>
        <v>0</v>
      </c>
    </row>
    <row r="230" spans="1:21" ht="15.75">
      <c r="A230" s="499" t="s">
        <v>92</v>
      </c>
      <c r="B230" s="217"/>
      <c r="C230" s="217"/>
      <c r="D230" s="399" t="s">
        <v>70</v>
      </c>
      <c r="E230" s="200">
        <v>0</v>
      </c>
      <c r="F230" s="125">
        <v>0.7</v>
      </c>
      <c r="G230" s="124">
        <f t="shared" si="84"/>
        <v>0</v>
      </c>
      <c r="H230" s="126">
        <v>1</v>
      </c>
      <c r="I230" s="124">
        <f t="shared" si="85"/>
        <v>0</v>
      </c>
      <c r="J230" s="16">
        <v>1.5</v>
      </c>
      <c r="K230" s="41">
        <f t="shared" si="86"/>
        <v>0</v>
      </c>
      <c r="L230" s="380" t="s">
        <v>80</v>
      </c>
      <c r="M230" s="202">
        <v>7.5</v>
      </c>
      <c r="N230" s="92">
        <v>1</v>
      </c>
      <c r="O230" s="79">
        <f t="shared" si="80"/>
        <v>7.5</v>
      </c>
      <c r="P230" s="83">
        <v>1</v>
      </c>
      <c r="Q230" s="79">
        <f t="shared" si="81"/>
        <v>7.5</v>
      </c>
      <c r="R230" s="270">
        <v>1</v>
      </c>
      <c r="S230" s="269">
        <f t="shared" si="82"/>
        <v>7.5</v>
      </c>
      <c r="T230" s="270">
        <v>1</v>
      </c>
      <c r="U230" s="269">
        <f t="shared" si="83"/>
        <v>7.5</v>
      </c>
    </row>
    <row r="231" spans="1:21" ht="15.75">
      <c r="A231" s="495" t="s">
        <v>64</v>
      </c>
      <c r="B231" s="217"/>
      <c r="C231" s="217"/>
      <c r="D231" s="403" t="s">
        <v>50</v>
      </c>
      <c r="E231" s="198">
        <v>6</v>
      </c>
      <c r="F231" s="125">
        <v>8.5</v>
      </c>
      <c r="G231" s="124">
        <f t="shared" si="84"/>
        <v>51</v>
      </c>
      <c r="H231" s="123">
        <v>8.5</v>
      </c>
      <c r="I231" s="124">
        <f t="shared" si="85"/>
        <v>51</v>
      </c>
      <c r="J231" s="37">
        <v>8.5</v>
      </c>
      <c r="K231" s="41">
        <f t="shared" si="86"/>
        <v>51</v>
      </c>
      <c r="L231" s="380"/>
      <c r="M231" s="198">
        <v>6</v>
      </c>
      <c r="N231" s="92">
        <v>8</v>
      </c>
      <c r="O231" s="79">
        <f t="shared" si="80"/>
        <v>48</v>
      </c>
      <c r="P231" s="83">
        <v>10</v>
      </c>
      <c r="Q231" s="79">
        <f t="shared" si="81"/>
        <v>60</v>
      </c>
      <c r="R231" s="270">
        <v>10</v>
      </c>
      <c r="S231" s="269">
        <f t="shared" si="82"/>
        <v>60</v>
      </c>
      <c r="T231" s="270">
        <v>10</v>
      </c>
      <c r="U231" s="269">
        <f t="shared" si="83"/>
        <v>60</v>
      </c>
    </row>
    <row r="232" spans="1:21" ht="15.75">
      <c r="A232" s="495" t="s">
        <v>65</v>
      </c>
      <c r="B232" s="217"/>
      <c r="C232" s="217"/>
      <c r="D232" s="403" t="s">
        <v>50</v>
      </c>
      <c r="E232" s="198">
        <v>6</v>
      </c>
      <c r="F232" s="125">
        <v>1.9</v>
      </c>
      <c r="G232" s="124">
        <f t="shared" si="84"/>
        <v>11.399999999999999</v>
      </c>
      <c r="H232" s="126">
        <v>1.9</v>
      </c>
      <c r="I232" s="124">
        <f t="shared" si="85"/>
        <v>11.399999999999999</v>
      </c>
      <c r="J232" s="16">
        <v>1.9</v>
      </c>
      <c r="K232" s="41">
        <f t="shared" si="86"/>
        <v>11.399999999999999</v>
      </c>
      <c r="L232" s="380"/>
      <c r="M232" s="198">
        <v>6</v>
      </c>
      <c r="N232" s="92">
        <v>1.9</v>
      </c>
      <c r="O232" s="79">
        <f t="shared" si="80"/>
        <v>11.399999999999999</v>
      </c>
      <c r="P232" s="83">
        <v>1.9</v>
      </c>
      <c r="Q232" s="79">
        <f t="shared" si="81"/>
        <v>11.399999999999999</v>
      </c>
      <c r="R232" s="270">
        <v>1.9</v>
      </c>
      <c r="S232" s="269">
        <f t="shared" si="82"/>
        <v>11.399999999999999</v>
      </c>
      <c r="T232" s="270">
        <v>1.9</v>
      </c>
      <c r="U232" s="269">
        <f t="shared" si="83"/>
        <v>11.399999999999999</v>
      </c>
    </row>
    <row r="233" spans="1:35" ht="15.75">
      <c r="A233" s="495" t="s">
        <v>66</v>
      </c>
      <c r="B233" s="217"/>
      <c r="C233" s="217"/>
      <c r="D233" s="403" t="s">
        <v>44</v>
      </c>
      <c r="E233" s="201">
        <v>0.011</v>
      </c>
      <c r="F233" s="125">
        <f>F223</f>
        <v>2000</v>
      </c>
      <c r="G233" s="124">
        <f t="shared" si="84"/>
        <v>22</v>
      </c>
      <c r="H233" s="126">
        <f>H223</f>
        <v>2500</v>
      </c>
      <c r="I233" s="124">
        <f t="shared" si="85"/>
        <v>27.5</v>
      </c>
      <c r="J233" s="16">
        <f>J223</f>
        <v>3000</v>
      </c>
      <c r="K233" s="41">
        <f t="shared" si="86"/>
        <v>33</v>
      </c>
      <c r="L233" s="380"/>
      <c r="M233" s="201">
        <v>0.011</v>
      </c>
      <c r="N233" s="92">
        <f>N223</f>
        <v>1000</v>
      </c>
      <c r="O233" s="79">
        <f t="shared" si="80"/>
        <v>11</v>
      </c>
      <c r="P233" s="83">
        <f>P223</f>
        <v>1700</v>
      </c>
      <c r="Q233" s="79">
        <f t="shared" si="81"/>
        <v>18.7</v>
      </c>
      <c r="R233" s="270">
        <f>R223</f>
        <v>1700</v>
      </c>
      <c r="S233" s="269">
        <f t="shared" si="82"/>
        <v>18.7</v>
      </c>
      <c r="T233" s="270">
        <f>T223</f>
        <v>1700</v>
      </c>
      <c r="U233" s="269">
        <f t="shared" si="83"/>
        <v>18.7</v>
      </c>
      <c r="AI233" s="237"/>
    </row>
    <row r="234" spans="1:35" ht="18.75" customHeight="1">
      <c r="A234" s="495" t="s">
        <v>53</v>
      </c>
      <c r="B234" s="217"/>
      <c r="C234" s="217"/>
      <c r="D234" s="403" t="s">
        <v>44</v>
      </c>
      <c r="E234" s="201">
        <v>0.016</v>
      </c>
      <c r="F234" s="125">
        <f>F223</f>
        <v>2000</v>
      </c>
      <c r="G234" s="124">
        <f t="shared" si="84"/>
        <v>32</v>
      </c>
      <c r="H234" s="126">
        <f>H223</f>
        <v>2500</v>
      </c>
      <c r="I234" s="124">
        <f t="shared" si="85"/>
        <v>40</v>
      </c>
      <c r="J234" s="16">
        <f>J223</f>
        <v>3000</v>
      </c>
      <c r="K234" s="41">
        <f t="shared" si="86"/>
        <v>48</v>
      </c>
      <c r="L234" s="380"/>
      <c r="M234" s="201">
        <v>0.016</v>
      </c>
      <c r="N234" s="92">
        <f>N223</f>
        <v>1000</v>
      </c>
      <c r="O234" s="79">
        <f t="shared" si="80"/>
        <v>16</v>
      </c>
      <c r="P234" s="83">
        <f>P223</f>
        <v>1700</v>
      </c>
      <c r="Q234" s="79">
        <f t="shared" si="81"/>
        <v>27.2</v>
      </c>
      <c r="R234" s="270">
        <f>R223</f>
        <v>1700</v>
      </c>
      <c r="S234" s="269">
        <f t="shared" si="82"/>
        <v>27.2</v>
      </c>
      <c r="T234" s="270">
        <f>T223</f>
        <v>1700</v>
      </c>
      <c r="U234" s="269">
        <f t="shared" si="83"/>
        <v>27.2</v>
      </c>
      <c r="AI234" s="237"/>
    </row>
    <row r="235" spans="1:35" ht="18.75" customHeight="1">
      <c r="A235" s="495" t="s">
        <v>54</v>
      </c>
      <c r="B235" s="217"/>
      <c r="C235" s="217"/>
      <c r="D235" s="403" t="s">
        <v>42</v>
      </c>
      <c r="E235" s="122">
        <v>0.5</v>
      </c>
      <c r="F235" s="127">
        <f>(SUM(G225:G234)+167)</f>
        <v>541.89</v>
      </c>
      <c r="G235" s="124"/>
      <c r="H235" s="128">
        <f>(SUM(I225:I234)+167)</f>
        <v>580.25</v>
      </c>
      <c r="I235" s="124"/>
      <c r="J235" s="38">
        <f>(SUM(K225:K234)+167)</f>
        <v>609.5799999999999</v>
      </c>
      <c r="K235" s="41"/>
      <c r="L235" s="380"/>
      <c r="M235" s="90">
        <v>0.5</v>
      </c>
      <c r="N235" s="93">
        <f>(SUM(O225:O234)+167)</f>
        <v>290.4</v>
      </c>
      <c r="O235" s="91"/>
      <c r="P235" s="94">
        <f>(SUM(Q225:Q234)+167)</f>
        <v>506.79999999999995</v>
      </c>
      <c r="Q235" s="91"/>
      <c r="R235" s="280">
        <f>(SUM(S225:S234)+167)</f>
        <v>332.29999999999995</v>
      </c>
      <c r="S235" s="279"/>
      <c r="T235" s="280">
        <f>(SUM(U225:U234)+167)</f>
        <v>332.29999999999995</v>
      </c>
      <c r="U235" s="269"/>
      <c r="AI235" s="237"/>
    </row>
    <row r="236" spans="1:35" ht="18.75" customHeight="1" thickBot="1">
      <c r="A236" s="495" t="s">
        <v>56</v>
      </c>
      <c r="B236" s="440"/>
      <c r="C236" s="440"/>
      <c r="D236" s="403" t="s">
        <v>42</v>
      </c>
      <c r="E236" s="122">
        <v>0.05</v>
      </c>
      <c r="F236" s="127">
        <f>+E235*F235</f>
        <v>270.945</v>
      </c>
      <c r="G236" s="124">
        <f>E236*F236</f>
        <v>13.54725</v>
      </c>
      <c r="H236" s="128">
        <f>+E235*H235</f>
        <v>290.125</v>
      </c>
      <c r="I236" s="124">
        <f>E236*H236</f>
        <v>14.506250000000001</v>
      </c>
      <c r="J236" s="38">
        <f>+E235*J235</f>
        <v>304.78999999999996</v>
      </c>
      <c r="K236" s="41">
        <f>E236*J236</f>
        <v>15.2395</v>
      </c>
      <c r="L236" s="396"/>
      <c r="M236" s="90">
        <v>0.05</v>
      </c>
      <c r="N236" s="93">
        <f>+M235*N235</f>
        <v>145.2</v>
      </c>
      <c r="O236" s="91">
        <f>M236*N236</f>
        <v>7.26</v>
      </c>
      <c r="P236" s="94">
        <f>+M235*P235</f>
        <v>253.39999999999998</v>
      </c>
      <c r="Q236" s="91">
        <f>M236*P236</f>
        <v>12.67</v>
      </c>
      <c r="R236" s="280">
        <f>+M235*R235</f>
        <v>166.14999999999998</v>
      </c>
      <c r="S236" s="279">
        <f>M236*R236</f>
        <v>8.3075</v>
      </c>
      <c r="T236" s="272">
        <f>+M235*T235</f>
        <v>166.14999999999998</v>
      </c>
      <c r="U236" s="269">
        <f t="shared" si="83"/>
        <v>8.3075</v>
      </c>
      <c r="AI236" s="237"/>
    </row>
    <row r="237" spans="1:35" ht="18.75" customHeight="1" thickBot="1">
      <c r="A237" s="160" t="s">
        <v>59</v>
      </c>
      <c r="B237" s="162"/>
      <c r="C237" s="162"/>
      <c r="D237" s="406"/>
      <c r="E237" s="144"/>
      <c r="F237" s="151"/>
      <c r="G237" s="145">
        <f>SUM(G224:G236)</f>
        <v>388.43725</v>
      </c>
      <c r="H237" s="146"/>
      <c r="I237" s="145">
        <f>SUM(I224:I236)</f>
        <v>427.75625</v>
      </c>
      <c r="J237" s="153"/>
      <c r="K237" s="367">
        <f>SUM(K224:K236)</f>
        <v>457.8195</v>
      </c>
      <c r="L237" s="442"/>
      <c r="M237" s="148"/>
      <c r="N237" s="152"/>
      <c r="O237" s="149">
        <f>SUM(O224:O236)</f>
        <v>130.66</v>
      </c>
      <c r="P237" s="150"/>
      <c r="Q237" s="149">
        <f>SUM(Q224:Q236)</f>
        <v>352.46999999999997</v>
      </c>
      <c r="R237" s="443"/>
      <c r="S237" s="268">
        <f>SUM(S224:S236)</f>
        <v>173.6075</v>
      </c>
      <c r="T237" s="443"/>
      <c r="U237" s="268">
        <f>SUM(U224:U236)</f>
        <v>173.6075</v>
      </c>
      <c r="AI237" s="237"/>
    </row>
    <row r="238" ht="18.75" customHeight="1">
      <c r="AI238" s="237"/>
    </row>
    <row r="239" spans="1:35" ht="18.75" customHeight="1">
      <c r="A239" s="163" t="s">
        <v>87</v>
      </c>
      <c r="AI239" s="237"/>
    </row>
    <row r="240" ht="18.75" customHeight="1">
      <c r="AI240" s="237"/>
    </row>
    <row r="241" spans="1:35" ht="18.75" customHeight="1">
      <c r="A241" s="66" t="s">
        <v>142</v>
      </c>
      <c r="AI241" s="237"/>
    </row>
    <row r="242" spans="1:35" ht="18.75" customHeight="1">
      <c r="A242" s="66" t="s">
        <v>89</v>
      </c>
      <c r="AI242" s="237"/>
    </row>
    <row r="243" ht="18.75" customHeight="1">
      <c r="AI243" s="237"/>
    </row>
    <row r="244" spans="1:35" ht="18.75" customHeight="1">
      <c r="A244" s="66" t="s">
        <v>136</v>
      </c>
      <c r="AI244" s="237"/>
    </row>
    <row r="245" spans="1:35" ht="18.75" customHeight="1">
      <c r="A245" s="164" t="s">
        <v>154</v>
      </c>
      <c r="AI245" s="237"/>
    </row>
    <row r="246" spans="1:35" ht="18.75" customHeight="1">
      <c r="A246" s="66" t="s">
        <v>86</v>
      </c>
      <c r="AI246" s="237"/>
    </row>
    <row r="247" spans="1:35" ht="18.75" customHeight="1">
      <c r="A247" s="66" t="s">
        <v>137</v>
      </c>
      <c r="AI247" s="237"/>
    </row>
    <row r="248" spans="1:35" ht="18.75" customHeight="1">
      <c r="A248" s="66" t="s">
        <v>138</v>
      </c>
      <c r="AI248" s="237"/>
    </row>
    <row r="249" spans="1:35" ht="18.75" customHeight="1">
      <c r="A249" s="66" t="s">
        <v>139</v>
      </c>
      <c r="AI249" s="237"/>
    </row>
    <row r="250" spans="1:35" s="32" customFormat="1" ht="18.75" customHeight="1">
      <c r="A250" s="66" t="s">
        <v>140</v>
      </c>
      <c r="B250" s="22"/>
      <c r="C250" s="22"/>
      <c r="D250"/>
      <c r="E250"/>
      <c r="F250"/>
      <c r="G250"/>
      <c r="H250"/>
      <c r="I250"/>
      <c r="J250"/>
      <c r="K250"/>
      <c r="L250"/>
      <c r="M250"/>
      <c r="N250"/>
      <c r="O250"/>
      <c r="P250"/>
      <c r="Q250"/>
      <c r="R250"/>
      <c r="S250"/>
      <c r="T250"/>
      <c r="V250"/>
      <c r="W250" s="7"/>
      <c r="X250" s="7"/>
      <c r="Y250" s="7"/>
      <c r="Z250" s="7"/>
      <c r="AA250" s="7"/>
      <c r="AB250" s="56"/>
      <c r="AC250" s="7"/>
      <c r="AD250" s="52"/>
      <c r="AE250" s="7"/>
      <c r="AF250" s="7"/>
      <c r="AG250" s="7"/>
      <c r="AH250"/>
      <c r="AI250" s="258"/>
    </row>
    <row r="251" spans="1:35" ht="18.75">
      <c r="A251" s="66" t="s">
        <v>85</v>
      </c>
      <c r="AI251" s="237"/>
    </row>
    <row r="252" ht="18.75">
      <c r="A252" s="27" t="s">
        <v>179</v>
      </c>
    </row>
    <row r="254" ht="21">
      <c r="A254" s="165" t="s">
        <v>88</v>
      </c>
    </row>
    <row r="255" ht="21">
      <c r="A255" s="165" t="s">
        <v>143</v>
      </c>
    </row>
  </sheetData>
  <sheetProtection password="9C73" sheet="1" selectLockedCells="1" selectUnlockedCells="1"/>
  <mergeCells count="27">
    <mergeCell ref="X64:X65"/>
    <mergeCell ref="W64:W65"/>
    <mergeCell ref="V64:V65"/>
    <mergeCell ref="V45:AC45"/>
    <mergeCell ref="V46:AC46"/>
    <mergeCell ref="V47:AC47"/>
    <mergeCell ref="V48:AC48"/>
    <mergeCell ref="V49:AC49"/>
    <mergeCell ref="V50:AC50"/>
    <mergeCell ref="D12:I12"/>
    <mergeCell ref="L12:Q12"/>
    <mergeCell ref="A11:Q11"/>
    <mergeCell ref="R12:S12"/>
    <mergeCell ref="D1:H1"/>
    <mergeCell ref="V42:AC42"/>
    <mergeCell ref="L7:S8"/>
    <mergeCell ref="V41:AC41"/>
    <mergeCell ref="AD64:AD65"/>
    <mergeCell ref="L1:S6"/>
    <mergeCell ref="T12:U12"/>
    <mergeCell ref="AD13:AD14"/>
    <mergeCell ref="AE64:AE65"/>
    <mergeCell ref="V43:AC43"/>
    <mergeCell ref="V44:AC44"/>
    <mergeCell ref="AA64:AA65"/>
    <mergeCell ref="Z64:Z65"/>
    <mergeCell ref="Y64:Y65"/>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1"/>
  <sheetViews>
    <sheetView showGridLines="0" zoomScale="85" zoomScaleNormal="85" workbookViewId="0" topLeftCell="A1">
      <selection activeCell="E10" sqref="E10"/>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s>
  <sheetData>
    <row r="1" ht="28.5">
      <c r="A1" s="1"/>
    </row>
    <row r="2" spans="2:9" ht="26.25">
      <c r="B2" s="562" t="s">
        <v>201</v>
      </c>
      <c r="I2" s="7"/>
    </row>
    <row r="4" spans="2:10" ht="20.25">
      <c r="B4" s="323" t="s">
        <v>0</v>
      </c>
      <c r="C4" s="2"/>
      <c r="D4" s="2"/>
      <c r="E4" s="2"/>
      <c r="F4" s="2"/>
      <c r="G4" s="3"/>
      <c r="H4" s="4"/>
      <c r="I4" s="5"/>
      <c r="J4" s="6"/>
    </row>
    <row r="5" spans="2:10" ht="15.75">
      <c r="B5" s="8"/>
      <c r="C5" s="8"/>
      <c r="D5" s="9"/>
      <c r="E5" s="10"/>
      <c r="F5" s="11" t="s">
        <v>1</v>
      </c>
      <c r="G5" s="12" t="s">
        <v>2</v>
      </c>
      <c r="H5" s="12" t="s">
        <v>3</v>
      </c>
      <c r="I5" s="12" t="s">
        <v>4</v>
      </c>
      <c r="J5" s="13"/>
    </row>
    <row r="6" spans="1:10" ht="15.75">
      <c r="A6" s="297" t="s">
        <v>5</v>
      </c>
      <c r="B6" s="298" t="s">
        <v>6</v>
      </c>
      <c r="C6" s="298"/>
      <c r="D6" s="299" t="s">
        <v>7</v>
      </c>
      <c r="E6" s="299" t="s">
        <v>8</v>
      </c>
      <c r="F6" s="300" t="s">
        <v>9</v>
      </c>
      <c r="G6" s="300" t="s">
        <v>9</v>
      </c>
      <c r="H6" s="300" t="s">
        <v>9</v>
      </c>
      <c r="I6" s="300" t="s">
        <v>9</v>
      </c>
      <c r="J6" s="301"/>
    </row>
    <row r="7" spans="1:10" ht="15.75">
      <c r="A7" s="238" t="s">
        <v>10</v>
      </c>
      <c r="B7" s="320">
        <v>0</v>
      </c>
      <c r="C7" s="300" t="s">
        <v>11</v>
      </c>
      <c r="D7" s="320">
        <v>4000</v>
      </c>
      <c r="E7" s="321">
        <v>0.14</v>
      </c>
      <c r="F7" s="302">
        <f aca="true" t="shared" si="0" ref="F7:F17">E7*D7</f>
        <v>560</v>
      </c>
      <c r="G7" s="302">
        <v>540</v>
      </c>
      <c r="H7" s="303">
        <f>'Muuttuvat kustannukset'!I28</f>
        <v>491.266275</v>
      </c>
      <c r="I7" s="304">
        <f aca="true" t="shared" si="1" ref="I7:I17">F7+G7-H7</f>
        <v>608.733725</v>
      </c>
      <c r="J7" s="305">
        <f aca="true" t="shared" si="2" ref="J7:J17">B7*I7</f>
        <v>0</v>
      </c>
    </row>
    <row r="8" spans="1:10" ht="15.75">
      <c r="A8" s="239" t="s">
        <v>13</v>
      </c>
      <c r="B8" s="320">
        <v>10</v>
      </c>
      <c r="C8" s="326" t="s">
        <v>11</v>
      </c>
      <c r="D8" s="320">
        <v>4000</v>
      </c>
      <c r="E8" s="321">
        <v>0.155</v>
      </c>
      <c r="F8" s="17">
        <f t="shared" si="0"/>
        <v>620</v>
      </c>
      <c r="G8" s="17">
        <v>540</v>
      </c>
      <c r="H8" s="43">
        <f>'Muuttuvat kustannukset'!I44</f>
        <v>490.17055</v>
      </c>
      <c r="I8" s="307">
        <f t="shared" si="1"/>
        <v>669.82945</v>
      </c>
      <c r="J8" s="308">
        <f t="shared" si="2"/>
        <v>6698.2945</v>
      </c>
    </row>
    <row r="9" spans="1:10" ht="15.75">
      <c r="A9" s="240" t="s">
        <v>12</v>
      </c>
      <c r="B9" s="322"/>
      <c r="C9" s="326" t="s">
        <v>11</v>
      </c>
      <c r="D9" s="322">
        <v>4000</v>
      </c>
      <c r="E9" s="321">
        <v>0.123</v>
      </c>
      <c r="F9" s="17">
        <f t="shared" si="0"/>
        <v>492</v>
      </c>
      <c r="G9" s="17">
        <v>540</v>
      </c>
      <c r="H9" s="309">
        <f>'Muuttuvat kustannukset'!I60</f>
        <v>440.91929999999996</v>
      </c>
      <c r="I9" s="307">
        <f t="shared" si="1"/>
        <v>591.0807</v>
      </c>
      <c r="J9" s="308">
        <f t="shared" si="2"/>
        <v>0</v>
      </c>
    </row>
    <row r="10" spans="1:10" ht="15.75">
      <c r="A10" s="239" t="s">
        <v>16</v>
      </c>
      <c r="B10" s="320">
        <v>20</v>
      </c>
      <c r="C10" s="326" t="s">
        <v>11</v>
      </c>
      <c r="D10" s="320">
        <v>4000</v>
      </c>
      <c r="E10" s="321">
        <v>0.173</v>
      </c>
      <c r="F10" s="17">
        <f t="shared" si="0"/>
        <v>692</v>
      </c>
      <c r="G10" s="17">
        <v>540</v>
      </c>
      <c r="H10" s="43">
        <f>'Muuttuvat kustannukset'!I77</f>
        <v>571.249075</v>
      </c>
      <c r="I10" s="307">
        <f t="shared" si="1"/>
        <v>660.750925</v>
      </c>
      <c r="J10" s="308">
        <f t="shared" si="2"/>
        <v>13215.018500000002</v>
      </c>
    </row>
    <row r="11" spans="1:10" ht="15.75">
      <c r="A11" s="239" t="s">
        <v>18</v>
      </c>
      <c r="B11" s="320"/>
      <c r="C11" s="326" t="s">
        <v>11</v>
      </c>
      <c r="D11" s="320">
        <v>3200</v>
      </c>
      <c r="E11" s="321">
        <v>0.2</v>
      </c>
      <c r="F11" s="17">
        <f t="shared" si="0"/>
        <v>640</v>
      </c>
      <c r="G11" s="17">
        <v>540</v>
      </c>
      <c r="H11" s="43">
        <f>'Muuttuvat kustannukset'!I94</f>
        <v>505.21287499999994</v>
      </c>
      <c r="I11" s="307">
        <f t="shared" si="1"/>
        <v>674.7871250000001</v>
      </c>
      <c r="J11" s="308">
        <f t="shared" si="2"/>
        <v>0</v>
      </c>
    </row>
    <row r="12" spans="1:10" ht="15.75">
      <c r="A12" s="239" t="s">
        <v>17</v>
      </c>
      <c r="B12" s="320">
        <v>20</v>
      </c>
      <c r="C12" s="326" t="s">
        <v>11</v>
      </c>
      <c r="D12" s="320">
        <v>1500</v>
      </c>
      <c r="E12" s="321">
        <v>0.36</v>
      </c>
      <c r="F12" s="17">
        <f t="shared" si="0"/>
        <v>540</v>
      </c>
      <c r="G12" s="17">
        <v>579</v>
      </c>
      <c r="H12" s="43">
        <f>'Muuttuvat kustannukset'!I109</f>
        <v>435.00300000000004</v>
      </c>
      <c r="I12" s="307">
        <f t="shared" si="1"/>
        <v>683.997</v>
      </c>
      <c r="J12" s="308">
        <f t="shared" si="2"/>
        <v>13679.939999999999</v>
      </c>
    </row>
    <row r="13" spans="1:10" ht="15.75">
      <c r="A13" s="344" t="s">
        <v>160</v>
      </c>
      <c r="B13" s="320"/>
      <c r="C13" s="326" t="s">
        <v>11</v>
      </c>
      <c r="D13" s="320">
        <v>2500</v>
      </c>
      <c r="E13" s="321">
        <v>0.36</v>
      </c>
      <c r="F13" s="17">
        <f>E13*D13</f>
        <v>900</v>
      </c>
      <c r="G13" s="17">
        <v>579</v>
      </c>
      <c r="H13" s="43">
        <f>'Muuttuvat kustannukset'!I237</f>
        <v>427.75625</v>
      </c>
      <c r="I13" s="307">
        <f>F13+G13-H13</f>
        <v>1051.24375</v>
      </c>
      <c r="J13" s="308">
        <f>B13*I13</f>
        <v>0</v>
      </c>
    </row>
    <row r="14" spans="1:10" ht="15.75">
      <c r="A14" s="239" t="s">
        <v>94</v>
      </c>
      <c r="B14" s="320"/>
      <c r="C14" s="326" t="s">
        <v>11</v>
      </c>
      <c r="D14" s="320">
        <v>3000</v>
      </c>
      <c r="E14" s="321">
        <v>0.22</v>
      </c>
      <c r="F14" s="17">
        <f t="shared" si="0"/>
        <v>660</v>
      </c>
      <c r="G14" s="17">
        <v>579</v>
      </c>
      <c r="H14" s="43">
        <f>'Muuttuvat kustannukset'!I139</f>
        <v>495.34010000000006</v>
      </c>
      <c r="I14" s="307">
        <f t="shared" si="1"/>
        <v>743.6598999999999</v>
      </c>
      <c r="J14" s="308">
        <f t="shared" si="2"/>
        <v>0</v>
      </c>
    </row>
    <row r="15" spans="1:10" ht="15.75">
      <c r="A15" s="239" t="s">
        <v>20</v>
      </c>
      <c r="B15" s="320"/>
      <c r="C15" s="326" t="s">
        <v>11</v>
      </c>
      <c r="D15" s="320">
        <v>0</v>
      </c>
      <c r="E15" s="321">
        <v>0</v>
      </c>
      <c r="F15" s="310">
        <f t="shared" si="0"/>
        <v>0</v>
      </c>
      <c r="G15" s="17">
        <v>540</v>
      </c>
      <c r="H15" s="43">
        <f>'Muuttuvat kustannukset'!I207</f>
        <v>67.115</v>
      </c>
      <c r="I15" s="307">
        <f t="shared" si="1"/>
        <v>472.885</v>
      </c>
      <c r="J15" s="308">
        <f t="shared" si="2"/>
        <v>0</v>
      </c>
    </row>
    <row r="16" spans="1:10" ht="15.75">
      <c r="A16" s="239" t="s">
        <v>157</v>
      </c>
      <c r="B16" s="320"/>
      <c r="C16" s="326" t="s">
        <v>11</v>
      </c>
      <c r="D16" s="320">
        <v>17900</v>
      </c>
      <c r="E16" s="321">
        <v>0.041</v>
      </c>
      <c r="F16" s="17">
        <f t="shared" si="0"/>
        <v>733.9</v>
      </c>
      <c r="G16" s="17">
        <v>540</v>
      </c>
      <c r="H16" s="43">
        <f>'Muuttuvat kustannukset'!I197</f>
        <v>525.8142075000001</v>
      </c>
      <c r="I16" s="307">
        <f t="shared" si="1"/>
        <v>748.0857925</v>
      </c>
      <c r="J16" s="308">
        <f t="shared" si="2"/>
        <v>0</v>
      </c>
    </row>
    <row r="17" spans="1:10" ht="15.75">
      <c r="A17" s="311" t="s">
        <v>151</v>
      </c>
      <c r="B17" s="320"/>
      <c r="C17" s="313"/>
      <c r="D17" s="320"/>
      <c r="E17" s="321"/>
      <c r="F17" s="312">
        <f t="shared" si="0"/>
        <v>0</v>
      </c>
      <c r="G17" s="313">
        <v>583</v>
      </c>
      <c r="H17" s="314">
        <f>'Muuttuvat kustannukset'!I207</f>
        <v>67.115</v>
      </c>
      <c r="I17" s="315">
        <f t="shared" si="1"/>
        <v>515.885</v>
      </c>
      <c r="J17" s="316">
        <f t="shared" si="2"/>
        <v>0</v>
      </c>
    </row>
    <row r="18" spans="1:10" ht="15.75">
      <c r="A18" s="317" t="s">
        <v>21</v>
      </c>
      <c r="B18" s="318">
        <f>SUM(B7:B17)</f>
        <v>50</v>
      </c>
      <c r="C18" s="507" t="s">
        <v>11</v>
      </c>
      <c r="D18" s="313"/>
      <c r="E18" s="313"/>
      <c r="F18" s="314"/>
      <c r="G18" s="314"/>
      <c r="H18" s="313" t="s">
        <v>23</v>
      </c>
      <c r="I18" s="314"/>
      <c r="J18" s="319">
        <f>SUM(J7:J17)</f>
        <v>33593.253</v>
      </c>
    </row>
    <row r="19" spans="7:10" ht="15.75">
      <c r="G19" s="7"/>
      <c r="H19" s="7"/>
      <c r="I19" s="7"/>
      <c r="J19" s="67"/>
    </row>
    <row r="20" spans="1:10" ht="15.75">
      <c r="A20" s="73"/>
      <c r="G20" s="7"/>
      <c r="H20" s="7"/>
      <c r="I20" s="7"/>
      <c r="J20" s="68"/>
    </row>
    <row r="21" spans="2:10" ht="20.25">
      <c r="B21" s="323" t="s">
        <v>82</v>
      </c>
      <c r="C21" s="207"/>
      <c r="D21" s="207"/>
      <c r="E21" s="207"/>
      <c r="F21" s="18"/>
      <c r="G21" s="19"/>
      <c r="H21" s="19"/>
      <c r="I21" s="15"/>
      <c r="J21" s="68"/>
    </row>
    <row r="22" spans="1:10" ht="15.75">
      <c r="A22" s="14"/>
      <c r="B22" s="8"/>
      <c r="C22" s="8"/>
      <c r="D22" s="9"/>
      <c r="F22" s="11" t="s">
        <v>1</v>
      </c>
      <c r="G22" s="12" t="s">
        <v>2</v>
      </c>
      <c r="H22" s="12" t="s">
        <v>3</v>
      </c>
      <c r="I22" s="12" t="s">
        <v>4</v>
      </c>
      <c r="J22" s="69"/>
    </row>
    <row r="23" spans="1:10" ht="15.75">
      <c r="A23" s="511" t="s">
        <v>5</v>
      </c>
      <c r="B23" s="512" t="s">
        <v>6</v>
      </c>
      <c r="C23" s="513" t="s">
        <v>11</v>
      </c>
      <c r="D23" s="513" t="s">
        <v>7</v>
      </c>
      <c r="E23" s="513" t="s">
        <v>8</v>
      </c>
      <c r="F23" s="514" t="s">
        <v>9</v>
      </c>
      <c r="G23" s="514" t="s">
        <v>9</v>
      </c>
      <c r="H23" s="514" t="s">
        <v>9</v>
      </c>
      <c r="I23" s="515" t="s">
        <v>9</v>
      </c>
      <c r="J23" s="516"/>
    </row>
    <row r="24" spans="1:10" ht="15.75">
      <c r="A24" s="341" t="s">
        <v>12</v>
      </c>
      <c r="B24" s="349">
        <v>15</v>
      </c>
      <c r="C24" s="300" t="s">
        <v>11</v>
      </c>
      <c r="D24" s="349">
        <v>2000</v>
      </c>
      <c r="E24" s="342">
        <v>0.123</v>
      </c>
      <c r="F24" s="299">
        <f aca="true" t="shared" si="3" ref="F24:F33">E24*D24</f>
        <v>246</v>
      </c>
      <c r="G24" s="302">
        <v>681</v>
      </c>
      <c r="H24" s="303">
        <f>'Muuttuvat kustannukset'!S60</f>
        <v>248.986</v>
      </c>
      <c r="I24" s="343">
        <f aca="true" t="shared" si="4" ref="I24:I33">F24+G24-H24</f>
        <v>678.014</v>
      </c>
      <c r="J24" s="305">
        <f aca="true" t="shared" si="5" ref="J24:J33">B24*I24</f>
        <v>10170.210000000001</v>
      </c>
    </row>
    <row r="25" spans="1:10" ht="15.75">
      <c r="A25" s="344" t="s">
        <v>158</v>
      </c>
      <c r="B25" s="349">
        <v>5</v>
      </c>
      <c r="C25" s="326" t="s">
        <v>11</v>
      </c>
      <c r="D25" s="349">
        <v>2000</v>
      </c>
      <c r="E25" s="340">
        <v>0.173</v>
      </c>
      <c r="F25" s="310">
        <f t="shared" si="3"/>
        <v>346</v>
      </c>
      <c r="G25" s="17">
        <v>681</v>
      </c>
      <c r="H25" s="43">
        <f>'Muuttuvat kustannukset'!S77</f>
        <v>301.44037499999996</v>
      </c>
      <c r="I25" s="338">
        <f t="shared" si="4"/>
        <v>725.5596250000001</v>
      </c>
      <c r="J25" s="308">
        <f t="shared" si="5"/>
        <v>3627.7981250000003</v>
      </c>
    </row>
    <row r="26" spans="1:10" ht="15.75">
      <c r="A26" s="344" t="s">
        <v>18</v>
      </c>
      <c r="B26" s="349"/>
      <c r="C26" s="326" t="s">
        <v>11</v>
      </c>
      <c r="D26" s="349">
        <v>2500</v>
      </c>
      <c r="E26" s="340">
        <v>0.2</v>
      </c>
      <c r="F26" s="310">
        <f t="shared" si="3"/>
        <v>500</v>
      </c>
      <c r="G26" s="17">
        <v>681</v>
      </c>
      <c r="H26" s="43">
        <f>'Muuttuvat kustannukset'!S94</f>
        <v>292.61875</v>
      </c>
      <c r="I26" s="338">
        <f t="shared" si="4"/>
        <v>888.38125</v>
      </c>
      <c r="J26" s="308">
        <f t="shared" si="5"/>
        <v>0</v>
      </c>
    </row>
    <row r="27" spans="1:10" ht="15.75">
      <c r="A27" s="344" t="s">
        <v>17</v>
      </c>
      <c r="B27" s="349">
        <v>0</v>
      </c>
      <c r="C27" s="326" t="s">
        <v>11</v>
      </c>
      <c r="D27" s="349">
        <v>1000</v>
      </c>
      <c r="E27" s="340">
        <v>0.36</v>
      </c>
      <c r="F27" s="310">
        <f t="shared" si="3"/>
        <v>360</v>
      </c>
      <c r="G27" s="17">
        <v>720</v>
      </c>
      <c r="H27" s="43">
        <f>'Muuttuvat kustannukset'!S109</f>
        <v>216.2885</v>
      </c>
      <c r="I27" s="338">
        <f t="shared" si="4"/>
        <v>863.7115</v>
      </c>
      <c r="J27" s="308">
        <f t="shared" si="5"/>
        <v>0</v>
      </c>
    </row>
    <row r="28" spans="1:10" ht="15.75">
      <c r="A28" s="344" t="s">
        <v>160</v>
      </c>
      <c r="B28" s="349"/>
      <c r="C28" s="326" t="s">
        <v>11</v>
      </c>
      <c r="D28" s="349">
        <v>1700</v>
      </c>
      <c r="E28" s="340">
        <f>E27</f>
        <v>0.36</v>
      </c>
      <c r="F28" s="17">
        <f>E28*D28</f>
        <v>612</v>
      </c>
      <c r="G28" s="17">
        <v>720</v>
      </c>
      <c r="H28" s="43">
        <f>'Muuttuvat kustannukset'!S237</f>
        <v>173.6075</v>
      </c>
      <c r="I28" s="338">
        <f t="shared" si="4"/>
        <v>1158.3925</v>
      </c>
      <c r="J28" s="308">
        <f t="shared" si="5"/>
        <v>0</v>
      </c>
    </row>
    <row r="29" spans="1:10" ht="15.75">
      <c r="A29" s="239" t="s">
        <v>94</v>
      </c>
      <c r="B29" s="349">
        <v>10</v>
      </c>
      <c r="C29" s="326" t="s">
        <v>11</v>
      </c>
      <c r="D29" s="349">
        <v>2500</v>
      </c>
      <c r="E29" s="340">
        <v>0.22</v>
      </c>
      <c r="F29" s="17">
        <f t="shared" si="3"/>
        <v>550</v>
      </c>
      <c r="G29" s="17">
        <v>720</v>
      </c>
      <c r="H29" s="43">
        <f>'Muuttuvat kustannukset'!S139</f>
        <v>343.021</v>
      </c>
      <c r="I29" s="338">
        <f t="shared" si="4"/>
        <v>926.979</v>
      </c>
      <c r="J29" s="308">
        <f t="shared" si="5"/>
        <v>9269.79</v>
      </c>
    </row>
    <row r="30" spans="1:10" ht="15.75">
      <c r="A30" s="239" t="s">
        <v>176</v>
      </c>
      <c r="B30" s="349"/>
      <c r="C30" s="326" t="s">
        <v>11</v>
      </c>
      <c r="D30" s="349">
        <v>2500</v>
      </c>
      <c r="E30" s="340">
        <v>0.215</v>
      </c>
      <c r="F30" s="17">
        <f>E30*D30</f>
        <v>537.5</v>
      </c>
      <c r="G30" s="17">
        <v>720</v>
      </c>
      <c r="H30" s="43">
        <f>'Muuttuvat kustannukset'!S124</f>
        <v>398.8835</v>
      </c>
      <c r="I30" s="338">
        <f t="shared" si="4"/>
        <v>858.6165</v>
      </c>
      <c r="J30" s="308">
        <f t="shared" si="5"/>
        <v>0</v>
      </c>
    </row>
    <row r="31" spans="1:10" s="25" customFormat="1" ht="15.75">
      <c r="A31" s="344" t="s">
        <v>20</v>
      </c>
      <c r="B31" s="349">
        <v>20</v>
      </c>
      <c r="C31" s="326" t="s">
        <v>11</v>
      </c>
      <c r="D31" s="349">
        <v>0</v>
      </c>
      <c r="E31" s="340"/>
      <c r="F31" s="310">
        <f t="shared" si="3"/>
        <v>0</v>
      </c>
      <c r="G31" s="17">
        <v>681</v>
      </c>
      <c r="H31" s="43">
        <f>'Muuttuvat kustannukset'!S207</f>
        <v>98.7325</v>
      </c>
      <c r="I31" s="338">
        <f t="shared" si="4"/>
        <v>582.2675</v>
      </c>
      <c r="J31" s="308">
        <f t="shared" si="5"/>
        <v>11645.35</v>
      </c>
    </row>
    <row r="32" spans="1:10" ht="15.75">
      <c r="A32" s="239" t="s">
        <v>157</v>
      </c>
      <c r="B32" s="349"/>
      <c r="C32" s="326" t="s">
        <v>11</v>
      </c>
      <c r="D32" s="349">
        <v>14000</v>
      </c>
      <c r="E32" s="340">
        <v>0.041</v>
      </c>
      <c r="F32" s="17">
        <f t="shared" si="3"/>
        <v>574</v>
      </c>
      <c r="G32" s="17">
        <v>681</v>
      </c>
      <c r="H32" s="43">
        <f>'Muuttuvat kustannukset'!S197</f>
        <v>259.85195</v>
      </c>
      <c r="I32" s="338">
        <f t="shared" si="4"/>
        <v>995.14805</v>
      </c>
      <c r="J32" s="308">
        <f t="shared" si="5"/>
        <v>0</v>
      </c>
    </row>
    <row r="33" spans="1:10" ht="15.75">
      <c r="A33" s="311" t="s">
        <v>151</v>
      </c>
      <c r="B33" s="349">
        <v>0</v>
      </c>
      <c r="C33" s="313"/>
      <c r="D33" s="349"/>
      <c r="E33" s="345"/>
      <c r="F33" s="312">
        <f t="shared" si="3"/>
        <v>0</v>
      </c>
      <c r="G33" s="313">
        <v>724</v>
      </c>
      <c r="H33" s="314">
        <f>'Muuttuvat kustannukset'!S207</f>
        <v>98.7325</v>
      </c>
      <c r="I33" s="346">
        <f t="shared" si="4"/>
        <v>625.2675</v>
      </c>
      <c r="J33" s="347">
        <f t="shared" si="5"/>
        <v>0</v>
      </c>
    </row>
    <row r="34" spans="1:10" ht="15.75">
      <c r="A34" s="330"/>
      <c r="B34" s="331">
        <f>SUM(B24:B33)</f>
        <v>50</v>
      </c>
      <c r="C34" s="330"/>
      <c r="D34" s="330"/>
      <c r="E34" s="330"/>
      <c r="F34" s="330"/>
      <c r="G34" s="331"/>
      <c r="H34" s="332" t="s">
        <v>22</v>
      </c>
      <c r="I34" s="333"/>
      <c r="J34" s="334">
        <f>SUM(J24:J33)</f>
        <v>34713.148125</v>
      </c>
    </row>
    <row r="35" spans="1:10" ht="15.75">
      <c r="A35" s="330"/>
      <c r="B35" s="330"/>
      <c r="C35" s="330"/>
      <c r="D35" s="330"/>
      <c r="E35" s="330"/>
      <c r="F35" s="330"/>
      <c r="G35" s="331"/>
      <c r="H35" s="335" t="s">
        <v>84</v>
      </c>
      <c r="I35" s="21"/>
      <c r="J35" s="334">
        <v>208</v>
      </c>
    </row>
    <row r="36" spans="1:10" ht="16.5" thickBot="1">
      <c r="A36" s="330"/>
      <c r="B36" s="330"/>
      <c r="C36" s="330"/>
      <c r="D36" s="330"/>
      <c r="E36" s="330"/>
      <c r="F36" s="330"/>
      <c r="G36" s="331"/>
      <c r="H36" s="336" t="s">
        <v>23</v>
      </c>
      <c r="I36" s="337"/>
      <c r="J36" s="509">
        <f>J34-J35</f>
        <v>34505.148125</v>
      </c>
    </row>
    <row r="37" spans="7:10" ht="15.75">
      <c r="G37" s="7"/>
      <c r="H37" s="7"/>
      <c r="I37" s="15"/>
      <c r="J37" s="68"/>
    </row>
    <row r="38" spans="1:10" ht="20.25">
      <c r="A38" s="207"/>
      <c r="B38" s="323" t="s">
        <v>25</v>
      </c>
      <c r="C38" s="207"/>
      <c r="D38" s="207"/>
      <c r="E38" s="207"/>
      <c r="F38" s="207"/>
      <c r="G38" s="7"/>
      <c r="H38" s="7"/>
      <c r="I38" s="15"/>
      <c r="J38" s="68"/>
    </row>
    <row r="39" spans="1:10" ht="15.75">
      <c r="A39" s="14"/>
      <c r="B39" s="8"/>
      <c r="C39" s="8"/>
      <c r="D39" s="9"/>
      <c r="F39" s="11" t="s">
        <v>1</v>
      </c>
      <c r="G39" s="12" t="s">
        <v>2</v>
      </c>
      <c r="H39" s="12" t="s">
        <v>3</v>
      </c>
      <c r="I39" s="12" t="s">
        <v>4</v>
      </c>
      <c r="J39" s="69"/>
    </row>
    <row r="40" spans="1:10" ht="15.75">
      <c r="A40" s="511" t="s">
        <v>5</v>
      </c>
      <c r="B40" s="512" t="s">
        <v>6</v>
      </c>
      <c r="C40" s="513"/>
      <c r="D40" s="513" t="s">
        <v>7</v>
      </c>
      <c r="E40" s="513" t="s">
        <v>8</v>
      </c>
      <c r="F40" s="514" t="s">
        <v>9</v>
      </c>
      <c r="G40" s="514" t="s">
        <v>9</v>
      </c>
      <c r="H40" s="514" t="s">
        <v>9</v>
      </c>
      <c r="I40" s="515" t="s">
        <v>9</v>
      </c>
      <c r="J40" s="516"/>
    </row>
    <row r="41" spans="1:10" ht="15.75">
      <c r="A41" s="344" t="s">
        <v>12</v>
      </c>
      <c r="B41" s="349">
        <v>15</v>
      </c>
      <c r="C41" s="326" t="s">
        <v>11</v>
      </c>
      <c r="D41" s="349">
        <v>2000</v>
      </c>
      <c r="E41" s="340">
        <f>E24</f>
        <v>0.123</v>
      </c>
      <c r="F41" s="17">
        <f aca="true" t="shared" si="6" ref="F41:F50">E41*D41</f>
        <v>246</v>
      </c>
      <c r="G41" s="302">
        <v>681</v>
      </c>
      <c r="H41" s="43">
        <f>'Muuttuvat kustannukset'!U60</f>
        <v>248.986</v>
      </c>
      <c r="I41" s="517">
        <f aca="true" t="shared" si="7" ref="I41:I50">F41+G41-H41</f>
        <v>678.014</v>
      </c>
      <c r="J41" s="528">
        <f aca="true" t="shared" si="8" ref="J41:J50">B41*I41</f>
        <v>10170.210000000001</v>
      </c>
    </row>
    <row r="42" spans="1:10" ht="15.75">
      <c r="A42" s="344" t="s">
        <v>158</v>
      </c>
      <c r="B42" s="349">
        <v>5</v>
      </c>
      <c r="C42" s="326" t="s">
        <v>11</v>
      </c>
      <c r="D42" s="349">
        <v>2000</v>
      </c>
      <c r="E42" s="340">
        <f>E25</f>
        <v>0.173</v>
      </c>
      <c r="F42" s="17">
        <f t="shared" si="6"/>
        <v>346</v>
      </c>
      <c r="G42" s="17">
        <v>681</v>
      </c>
      <c r="H42" s="43">
        <f>'Muuttuvat kustannukset'!U77</f>
        <v>301.44037499999996</v>
      </c>
      <c r="I42" s="517">
        <f t="shared" si="7"/>
        <v>725.5596250000001</v>
      </c>
      <c r="J42" s="529">
        <f t="shared" si="8"/>
        <v>3627.7981250000003</v>
      </c>
    </row>
    <row r="43" spans="1:10" ht="15.75">
      <c r="A43" s="344" t="s">
        <v>15</v>
      </c>
      <c r="B43" s="349"/>
      <c r="C43" s="326" t="s">
        <v>11</v>
      </c>
      <c r="D43" s="349">
        <v>2500</v>
      </c>
      <c r="E43" s="340">
        <f>E26</f>
        <v>0.2</v>
      </c>
      <c r="F43" s="17">
        <f t="shared" si="6"/>
        <v>500</v>
      </c>
      <c r="G43" s="17">
        <v>681</v>
      </c>
      <c r="H43" s="43">
        <f>'Muuttuvat kustannukset'!U94</f>
        <v>292.61875</v>
      </c>
      <c r="I43" s="517">
        <f t="shared" si="7"/>
        <v>888.38125</v>
      </c>
      <c r="J43" s="529">
        <f t="shared" si="8"/>
        <v>0</v>
      </c>
    </row>
    <row r="44" spans="1:10" ht="15.75">
      <c r="A44" s="344" t="s">
        <v>17</v>
      </c>
      <c r="B44" s="349">
        <v>0</v>
      </c>
      <c r="C44" s="326" t="s">
        <v>11</v>
      </c>
      <c r="D44" s="349">
        <v>1000</v>
      </c>
      <c r="E44" s="340">
        <f>E27+0.02</f>
        <v>0.38</v>
      </c>
      <c r="F44" s="17">
        <f t="shared" si="6"/>
        <v>380</v>
      </c>
      <c r="G44" s="17">
        <v>720</v>
      </c>
      <c r="H44" s="43">
        <f>'Muuttuvat kustannukset'!U109</f>
        <v>216.2885</v>
      </c>
      <c r="I44" s="517">
        <f t="shared" si="7"/>
        <v>883.7115</v>
      </c>
      <c r="J44" s="529">
        <f t="shared" si="8"/>
        <v>0</v>
      </c>
    </row>
    <row r="45" spans="1:10" ht="15.75">
      <c r="A45" s="344" t="s">
        <v>160</v>
      </c>
      <c r="B45" s="349"/>
      <c r="C45" s="326" t="s">
        <v>11</v>
      </c>
      <c r="D45" s="349">
        <v>1700</v>
      </c>
      <c r="E45" s="340">
        <f>E44</f>
        <v>0.38</v>
      </c>
      <c r="F45" s="17">
        <f t="shared" si="6"/>
        <v>646</v>
      </c>
      <c r="G45" s="17">
        <v>720</v>
      </c>
      <c r="H45" s="43">
        <f>'Muuttuvat kustannukset'!U237</f>
        <v>173.6075</v>
      </c>
      <c r="I45" s="517">
        <f t="shared" si="7"/>
        <v>1192.3925</v>
      </c>
      <c r="J45" s="529">
        <f t="shared" si="8"/>
        <v>0</v>
      </c>
    </row>
    <row r="46" spans="1:10" ht="15.75">
      <c r="A46" s="239" t="s">
        <v>94</v>
      </c>
      <c r="B46" s="349">
        <v>10</v>
      </c>
      <c r="C46" s="326" t="s">
        <v>11</v>
      </c>
      <c r="D46" s="349">
        <v>2500</v>
      </c>
      <c r="E46" s="340">
        <v>0.3</v>
      </c>
      <c r="F46" s="17">
        <f t="shared" si="6"/>
        <v>750</v>
      </c>
      <c r="G46" s="17">
        <v>720</v>
      </c>
      <c r="H46" s="43">
        <f>'Muuttuvat kustannukset'!U139</f>
        <v>343.021</v>
      </c>
      <c r="I46" s="517">
        <f t="shared" si="7"/>
        <v>1126.979</v>
      </c>
      <c r="J46" s="529">
        <f t="shared" si="8"/>
        <v>11269.79</v>
      </c>
    </row>
    <row r="47" spans="1:10" ht="15.75">
      <c r="A47" s="239" t="s">
        <v>176</v>
      </c>
      <c r="B47" s="349"/>
      <c r="C47" s="326" t="s">
        <v>11</v>
      </c>
      <c r="D47" s="349">
        <v>2500</v>
      </c>
      <c r="E47" s="340">
        <f>E69-0.02</f>
        <v>0.35</v>
      </c>
      <c r="F47" s="17">
        <f t="shared" si="6"/>
        <v>875</v>
      </c>
      <c r="G47" s="17">
        <v>720</v>
      </c>
      <c r="H47" s="43">
        <f>'Muuttuvat kustannukset'!U124</f>
        <v>398.8835</v>
      </c>
      <c r="I47" s="517">
        <f t="shared" si="7"/>
        <v>1196.1165</v>
      </c>
      <c r="J47" s="529">
        <f t="shared" si="8"/>
        <v>0</v>
      </c>
    </row>
    <row r="48" spans="1:10" ht="15.75">
      <c r="A48" s="344" t="s">
        <v>20</v>
      </c>
      <c r="B48" s="349">
        <v>15</v>
      </c>
      <c r="C48" s="326" t="s">
        <v>11</v>
      </c>
      <c r="D48" s="349">
        <v>0</v>
      </c>
      <c r="E48" s="340"/>
      <c r="F48" s="310">
        <f t="shared" si="6"/>
        <v>0</v>
      </c>
      <c r="G48" s="17">
        <v>681</v>
      </c>
      <c r="H48" s="43">
        <f>'Muuttuvat kustannukset'!U207</f>
        <v>98.7325</v>
      </c>
      <c r="I48" s="517">
        <f t="shared" si="7"/>
        <v>582.2675</v>
      </c>
      <c r="J48" s="529">
        <f t="shared" si="8"/>
        <v>8734.0125</v>
      </c>
    </row>
    <row r="49" spans="1:10" ht="15.75">
      <c r="A49" s="239" t="s">
        <v>157</v>
      </c>
      <c r="B49" s="349"/>
      <c r="C49" s="326" t="s">
        <v>11</v>
      </c>
      <c r="D49" s="349">
        <v>14000</v>
      </c>
      <c r="E49" s="340">
        <v>0.041</v>
      </c>
      <c r="F49" s="17">
        <f t="shared" si="6"/>
        <v>574</v>
      </c>
      <c r="G49" s="17">
        <v>681</v>
      </c>
      <c r="H49" s="43">
        <f>'Muuttuvat kustannukset'!U197</f>
        <v>259.85195</v>
      </c>
      <c r="I49" s="517">
        <f t="shared" si="7"/>
        <v>995.14805</v>
      </c>
      <c r="J49" s="529">
        <f t="shared" si="8"/>
        <v>0</v>
      </c>
    </row>
    <row r="50" spans="1:10" ht="15.75">
      <c r="A50" s="519" t="s">
        <v>151</v>
      </c>
      <c r="B50" s="349">
        <v>5</v>
      </c>
      <c r="C50" s="313"/>
      <c r="D50" s="349"/>
      <c r="E50" s="345"/>
      <c r="F50" s="312">
        <f t="shared" si="6"/>
        <v>0</v>
      </c>
      <c r="G50" s="313">
        <v>724</v>
      </c>
      <c r="H50" s="314">
        <f>'Muuttuvat kustannukset'!U207</f>
        <v>98.7325</v>
      </c>
      <c r="I50" s="520">
        <f t="shared" si="7"/>
        <v>625.2675</v>
      </c>
      <c r="J50" s="530">
        <f t="shared" si="8"/>
        <v>3126.3375</v>
      </c>
    </row>
    <row r="51" spans="1:10" ht="15.75">
      <c r="A51" s="353"/>
      <c r="B51" s="21">
        <f>SUM(B41:B50)</f>
        <v>50</v>
      </c>
      <c r="C51" s="353"/>
      <c r="D51" s="353"/>
      <c r="E51" s="353"/>
      <c r="F51" s="353"/>
      <c r="G51" s="21"/>
      <c r="H51" s="521" t="s">
        <v>22</v>
      </c>
      <c r="I51" s="522"/>
      <c r="J51" s="523">
        <f>SUM(J41:J50)</f>
        <v>36928.148125</v>
      </c>
    </row>
    <row r="52" spans="1:10" ht="15.75">
      <c r="A52" s="353"/>
      <c r="B52" s="353"/>
      <c r="C52" s="353"/>
      <c r="D52" s="353"/>
      <c r="E52" s="353"/>
      <c r="F52" s="353"/>
      <c r="G52" s="21"/>
      <c r="H52" s="524" t="s">
        <v>83</v>
      </c>
      <c r="I52" s="21"/>
      <c r="J52" s="525">
        <v>100</v>
      </c>
    </row>
    <row r="53" spans="1:10" ht="15.75">
      <c r="A53" s="166"/>
      <c r="B53" s="166"/>
      <c r="C53" s="166"/>
      <c r="D53" s="518"/>
      <c r="E53" s="166"/>
      <c r="F53" s="166"/>
      <c r="G53" s="63"/>
      <c r="H53" s="526" t="s">
        <v>23</v>
      </c>
      <c r="I53" s="527"/>
      <c r="J53" s="319">
        <f>J51-J52</f>
        <v>36828.148125</v>
      </c>
    </row>
    <row r="54" spans="1:10" ht="15.75">
      <c r="A54" s="24"/>
      <c r="G54" s="7"/>
      <c r="H54" s="7"/>
      <c r="I54" s="7"/>
      <c r="J54" s="68"/>
    </row>
    <row r="58" spans="2:5" ht="20.25">
      <c r="B58" s="508" t="s">
        <v>37</v>
      </c>
      <c r="C58" s="207"/>
      <c r="D58" s="207"/>
      <c r="E58" s="207"/>
    </row>
    <row r="59" spans="7:10" ht="15.75">
      <c r="G59" s="7"/>
      <c r="H59" s="7"/>
      <c r="I59" s="7"/>
      <c r="J59" s="68"/>
    </row>
    <row r="60" spans="1:10" ht="16.5" thickBot="1">
      <c r="A60" s="14"/>
      <c r="B60" s="8"/>
      <c r="C60" s="8"/>
      <c r="D60" s="9"/>
      <c r="F60" s="11" t="s">
        <v>1</v>
      </c>
      <c r="G60" s="12" t="s">
        <v>2</v>
      </c>
      <c r="H60" s="12" t="s">
        <v>3</v>
      </c>
      <c r="I60" s="12" t="s">
        <v>4</v>
      </c>
      <c r="J60" s="69"/>
    </row>
    <row r="61" spans="1:10" ht="16.5" thickBot="1">
      <c r="A61" s="533" t="s">
        <v>5</v>
      </c>
      <c r="B61" s="534" t="s">
        <v>6</v>
      </c>
      <c r="C61" s="535"/>
      <c r="D61" s="536" t="s">
        <v>7</v>
      </c>
      <c r="E61" s="536" t="s">
        <v>8</v>
      </c>
      <c r="F61" s="537" t="s">
        <v>9</v>
      </c>
      <c r="G61" s="537" t="s">
        <v>9</v>
      </c>
      <c r="H61" s="537" t="s">
        <v>9</v>
      </c>
      <c r="I61" s="537" t="s">
        <v>9</v>
      </c>
      <c r="J61" s="538"/>
    </row>
    <row r="62" spans="1:10" ht="15.75">
      <c r="A62" s="325" t="s">
        <v>12</v>
      </c>
      <c r="B62" s="531">
        <v>5</v>
      </c>
      <c r="C62" s="348" t="s">
        <v>11</v>
      </c>
      <c r="D62" s="531">
        <v>4000</v>
      </c>
      <c r="E62" s="532">
        <v>0.235</v>
      </c>
      <c r="F62" s="17">
        <f aca="true" t="shared" si="9" ref="F62:F72">E62*D62</f>
        <v>940</v>
      </c>
      <c r="G62" s="302">
        <v>681</v>
      </c>
      <c r="H62" s="43">
        <f>'Muuttuvat kustannukset'!Q60</f>
        <v>307.411</v>
      </c>
      <c r="I62" s="338">
        <f aca="true" t="shared" si="10" ref="I62:I72">F62+G62-H62</f>
        <v>1313.589</v>
      </c>
      <c r="J62" s="327">
        <f aca="true" t="shared" si="11" ref="J62:J72">B62*I62</f>
        <v>6567.945</v>
      </c>
    </row>
    <row r="63" spans="1:10" ht="15.75">
      <c r="A63" s="325" t="s">
        <v>178</v>
      </c>
      <c r="B63" s="531">
        <v>0</v>
      </c>
      <c r="C63" s="306" t="s">
        <v>11</v>
      </c>
      <c r="D63" s="531">
        <v>2500</v>
      </c>
      <c r="E63" s="532">
        <v>0.34</v>
      </c>
      <c r="F63" s="17">
        <f t="shared" si="9"/>
        <v>850.0000000000001</v>
      </c>
      <c r="G63" s="17">
        <v>681</v>
      </c>
      <c r="H63" s="43">
        <f>'Muuttuvat kustannukset'!Q28</f>
        <v>401.40349999999995</v>
      </c>
      <c r="I63" s="338">
        <f t="shared" si="10"/>
        <v>1129.5965</v>
      </c>
      <c r="J63" s="327">
        <f t="shared" si="11"/>
        <v>0</v>
      </c>
    </row>
    <row r="64" spans="1:10" ht="15.75">
      <c r="A64" s="325" t="s">
        <v>14</v>
      </c>
      <c r="B64" s="349">
        <v>10</v>
      </c>
      <c r="C64" s="306" t="s">
        <v>11</v>
      </c>
      <c r="D64" s="349">
        <v>2500</v>
      </c>
      <c r="E64" s="357">
        <v>0.31</v>
      </c>
      <c r="F64" s="17">
        <f t="shared" si="9"/>
        <v>775</v>
      </c>
      <c r="G64" s="17">
        <v>681</v>
      </c>
      <c r="H64" s="43">
        <f>'Muuttuvat kustannukset'!Q77</f>
        <v>483.172875</v>
      </c>
      <c r="I64" s="338">
        <f t="shared" si="10"/>
        <v>972.827125</v>
      </c>
      <c r="J64" s="327">
        <f t="shared" si="11"/>
        <v>9728.27125</v>
      </c>
    </row>
    <row r="65" spans="1:10" ht="15.75">
      <c r="A65" s="325" t="s">
        <v>15</v>
      </c>
      <c r="B65" s="349">
        <v>5</v>
      </c>
      <c r="C65" s="306" t="s">
        <v>11</v>
      </c>
      <c r="D65" s="349">
        <v>1800</v>
      </c>
      <c r="E65" s="357">
        <v>0.38</v>
      </c>
      <c r="F65" s="310">
        <f t="shared" si="9"/>
        <v>684</v>
      </c>
      <c r="G65" s="17">
        <v>681</v>
      </c>
      <c r="H65" s="43">
        <f>'Muuttuvat kustannukset'!Q94</f>
        <v>256.51374999999996</v>
      </c>
      <c r="I65" s="338">
        <f t="shared" si="10"/>
        <v>1108.48625</v>
      </c>
      <c r="J65" s="327">
        <f t="shared" si="11"/>
        <v>5542.43125</v>
      </c>
    </row>
    <row r="66" spans="1:10" ht="15.75">
      <c r="A66" s="325" t="s">
        <v>17</v>
      </c>
      <c r="B66" s="349">
        <v>0</v>
      </c>
      <c r="C66" s="306" t="s">
        <v>11</v>
      </c>
      <c r="D66" s="349">
        <v>800</v>
      </c>
      <c r="E66" s="357">
        <v>0.6</v>
      </c>
      <c r="F66" s="17">
        <f t="shared" si="9"/>
        <v>480</v>
      </c>
      <c r="G66" s="17">
        <v>720</v>
      </c>
      <c r="H66" s="43">
        <f>'Muuttuvat kustannukset'!Q109</f>
        <v>355.6885</v>
      </c>
      <c r="I66" s="338">
        <f t="shared" si="10"/>
        <v>844.3115</v>
      </c>
      <c r="J66" s="327">
        <f t="shared" si="11"/>
        <v>0</v>
      </c>
    </row>
    <row r="67" spans="1:10" ht="15.75">
      <c r="A67" s="344" t="s">
        <v>160</v>
      </c>
      <c r="B67" s="349"/>
      <c r="C67" s="306" t="s">
        <v>11</v>
      </c>
      <c r="D67" s="349">
        <v>1700</v>
      </c>
      <c r="E67" s="357">
        <v>0.6</v>
      </c>
      <c r="F67" s="17">
        <f t="shared" si="9"/>
        <v>1020</v>
      </c>
      <c r="G67" s="17">
        <v>720</v>
      </c>
      <c r="H67" s="43">
        <f>'Muuttuvat kustannukset'!Q237</f>
        <v>352.46999999999997</v>
      </c>
      <c r="I67" s="338">
        <f t="shared" si="10"/>
        <v>1387.53</v>
      </c>
      <c r="J67" s="327">
        <f t="shared" si="11"/>
        <v>0</v>
      </c>
    </row>
    <row r="68" spans="1:10" ht="15.75">
      <c r="A68" s="235" t="s">
        <v>94</v>
      </c>
      <c r="B68" s="349">
        <v>10</v>
      </c>
      <c r="C68" s="306" t="s">
        <v>11</v>
      </c>
      <c r="D68" s="349">
        <v>2500</v>
      </c>
      <c r="E68" s="357">
        <v>0.37</v>
      </c>
      <c r="F68" s="17">
        <f t="shared" si="9"/>
        <v>925</v>
      </c>
      <c r="G68" s="17">
        <v>720</v>
      </c>
      <c r="H68" s="43">
        <f>'Muuttuvat kustannukset'!Q139</f>
        <v>343.021</v>
      </c>
      <c r="I68" s="338">
        <f t="shared" si="10"/>
        <v>1301.979</v>
      </c>
      <c r="J68" s="327">
        <f t="shared" si="11"/>
        <v>13019.79</v>
      </c>
    </row>
    <row r="69" spans="1:10" ht="15.75">
      <c r="A69" s="239" t="s">
        <v>176</v>
      </c>
      <c r="B69" s="349"/>
      <c r="C69" s="306" t="s">
        <v>11</v>
      </c>
      <c r="D69" s="349">
        <v>2500</v>
      </c>
      <c r="E69" s="357">
        <v>0.37</v>
      </c>
      <c r="F69" s="17">
        <f t="shared" si="9"/>
        <v>925</v>
      </c>
      <c r="G69" s="17">
        <v>720</v>
      </c>
      <c r="H69" s="43">
        <f>'Muuttuvat kustannukset'!Q124</f>
        <v>398.8835</v>
      </c>
      <c r="I69" s="338">
        <f t="shared" si="10"/>
        <v>1246.1165</v>
      </c>
      <c r="J69" s="327">
        <f t="shared" si="11"/>
        <v>0</v>
      </c>
    </row>
    <row r="70" spans="1:10" ht="15.75">
      <c r="A70" s="325" t="s">
        <v>20</v>
      </c>
      <c r="B70" s="349">
        <v>15</v>
      </c>
      <c r="C70" s="306" t="s">
        <v>11</v>
      </c>
      <c r="D70" s="349">
        <v>0</v>
      </c>
      <c r="E70" s="357">
        <v>0</v>
      </c>
      <c r="F70" s="310">
        <f t="shared" si="9"/>
        <v>0</v>
      </c>
      <c r="G70" s="17">
        <v>681</v>
      </c>
      <c r="H70" s="43">
        <f>'Muuttuvat kustannukset'!Q207</f>
        <v>138.7075</v>
      </c>
      <c r="I70" s="338">
        <f t="shared" si="10"/>
        <v>542.2925</v>
      </c>
      <c r="J70" s="327">
        <f t="shared" si="11"/>
        <v>8134.387500000001</v>
      </c>
    </row>
    <row r="71" spans="1:10" ht="15.75">
      <c r="A71" s="235" t="s">
        <v>145</v>
      </c>
      <c r="B71" s="349"/>
      <c r="C71" s="306" t="s">
        <v>11</v>
      </c>
      <c r="D71" s="349">
        <v>14000</v>
      </c>
      <c r="E71" s="357">
        <v>0.041</v>
      </c>
      <c r="F71" s="17">
        <f t="shared" si="9"/>
        <v>574</v>
      </c>
      <c r="G71" s="17">
        <v>681</v>
      </c>
      <c r="H71" s="43">
        <f>'Muuttuvat kustannukset'!Q197</f>
        <v>243.57195</v>
      </c>
      <c r="I71" s="338">
        <f t="shared" si="10"/>
        <v>1011.42805</v>
      </c>
      <c r="J71" s="327">
        <f t="shared" si="11"/>
        <v>0</v>
      </c>
    </row>
    <row r="72" spans="1:10" ht="16.5" thickBot="1">
      <c r="A72" s="328" t="s">
        <v>151</v>
      </c>
      <c r="B72" s="350">
        <v>5</v>
      </c>
      <c r="C72" s="306" t="s">
        <v>11</v>
      </c>
      <c r="D72" s="350"/>
      <c r="E72" s="356"/>
      <c r="F72" s="329">
        <f t="shared" si="9"/>
        <v>0</v>
      </c>
      <c r="G72" s="313">
        <v>724</v>
      </c>
      <c r="H72" s="351">
        <f>'Muuttuvat kustannukset'!Q207</f>
        <v>138.7075</v>
      </c>
      <c r="I72" s="339">
        <f t="shared" si="10"/>
        <v>585.2925</v>
      </c>
      <c r="J72" s="358">
        <f t="shared" si="11"/>
        <v>2926.4625</v>
      </c>
    </row>
    <row r="73" spans="1:10" ht="15.75">
      <c r="A73" s="352" t="s">
        <v>21</v>
      </c>
      <c r="B73" s="21">
        <f>SUM(B62:B72)</f>
        <v>50</v>
      </c>
      <c r="C73" s="353" t="s">
        <v>11</v>
      </c>
      <c r="D73" s="63"/>
      <c r="E73" s="63"/>
      <c r="F73" s="333"/>
      <c r="G73" s="333"/>
      <c r="H73" s="332" t="s">
        <v>22</v>
      </c>
      <c r="I73" s="333"/>
      <c r="J73" s="327">
        <f>SUM(J62:J72)</f>
        <v>45919.2875</v>
      </c>
    </row>
    <row r="74" spans="1:10" ht="15.75">
      <c r="A74" s="354"/>
      <c r="B74" s="166"/>
      <c r="C74" s="166"/>
      <c r="D74" s="166"/>
      <c r="E74" s="166"/>
      <c r="F74" s="355"/>
      <c r="G74" s="63"/>
      <c r="H74" s="335" t="s">
        <v>83</v>
      </c>
      <c r="I74" s="21"/>
      <c r="J74" s="327">
        <v>100</v>
      </c>
    </row>
    <row r="75" spans="1:10" ht="16.5" thickBot="1">
      <c r="A75" s="22"/>
      <c r="B75" s="22"/>
      <c r="C75" s="22"/>
      <c r="D75" s="22"/>
      <c r="E75" s="22"/>
      <c r="F75" s="22"/>
      <c r="G75" s="30"/>
      <c r="H75" s="336" t="s">
        <v>23</v>
      </c>
      <c r="I75" s="337"/>
      <c r="J75" s="509">
        <f>J73-J74</f>
        <v>45819.2875</v>
      </c>
    </row>
    <row r="76" spans="7:10" ht="15.75">
      <c r="G76" s="7"/>
      <c r="H76" s="20"/>
      <c r="I76" s="21"/>
      <c r="J76" s="70"/>
    </row>
    <row r="77" spans="1:9" ht="26.25">
      <c r="A77" s="23" t="s">
        <v>24</v>
      </c>
      <c r="G77" s="7"/>
      <c r="H77" s="7"/>
      <c r="I77" s="7"/>
    </row>
    <row r="78" spans="1:10" ht="16.5" thickBot="1">
      <c r="A78" s="24"/>
      <c r="B78" s="24"/>
      <c r="C78" s="24"/>
      <c r="D78" s="24"/>
      <c r="E78" s="24"/>
      <c r="F78" s="24"/>
      <c r="G78" s="24"/>
      <c r="H78" s="24"/>
      <c r="I78" s="24"/>
      <c r="J78" s="71"/>
    </row>
    <row r="79" spans="1:10" ht="16.5" thickBot="1">
      <c r="A79" s="424" t="s">
        <v>26</v>
      </c>
      <c r="B79" s="425"/>
      <c r="C79" s="426"/>
      <c r="D79" s="427" t="s">
        <v>27</v>
      </c>
      <c r="E79" s="428" t="s">
        <v>28</v>
      </c>
      <c r="F79" s="428" t="s">
        <v>29</v>
      </c>
      <c r="G79" s="428" t="s">
        <v>30</v>
      </c>
      <c r="H79" s="429" t="s">
        <v>31</v>
      </c>
      <c r="I79" s="505"/>
      <c r="J79" s="430" t="s">
        <v>32</v>
      </c>
    </row>
    <row r="80" spans="1:10" ht="15.75">
      <c r="A80" s="324" t="s">
        <v>0</v>
      </c>
      <c r="B80" s="410"/>
      <c r="C80" s="410"/>
      <c r="D80" s="411">
        <f>J18</f>
        <v>33593.253</v>
      </c>
      <c r="E80" s="412">
        <f>J18</f>
        <v>33593.253</v>
      </c>
      <c r="F80" s="412">
        <f>J18</f>
        <v>33593.253</v>
      </c>
      <c r="G80" s="412">
        <f>J18</f>
        <v>33593.253</v>
      </c>
      <c r="H80" s="413">
        <f>J18</f>
        <v>33593.253</v>
      </c>
      <c r="I80" s="506" t="s">
        <v>22</v>
      </c>
      <c r="J80" s="414">
        <f>SUM(D80:H80)</f>
        <v>167966.26499999998</v>
      </c>
    </row>
    <row r="81" spans="1:10" ht="16.5" thickBot="1">
      <c r="A81" s="325" t="s">
        <v>38</v>
      </c>
      <c r="B81" s="415"/>
      <c r="C81" s="415"/>
      <c r="D81" s="416">
        <f>J36</f>
        <v>34505.148125</v>
      </c>
      <c r="E81" s="417">
        <f>J53</f>
        <v>36828.148125</v>
      </c>
      <c r="F81" s="417">
        <f>J75</f>
        <v>45819.2875</v>
      </c>
      <c r="G81" s="417">
        <f>J75</f>
        <v>45819.2875</v>
      </c>
      <c r="H81" s="418">
        <f>J75</f>
        <v>45819.2875</v>
      </c>
      <c r="I81" s="506" t="s">
        <v>22</v>
      </c>
      <c r="J81" s="419">
        <f>SUM(D81:H81)</f>
        <v>208791.15875</v>
      </c>
    </row>
    <row r="82" spans="1:10" ht="16.5" thickBot="1">
      <c r="A82" s="431" t="s">
        <v>34</v>
      </c>
      <c r="B82" s="432"/>
      <c r="C82" s="432"/>
      <c r="D82" s="433">
        <f>D81-D80</f>
        <v>911.8951250000027</v>
      </c>
      <c r="E82" s="433">
        <f>E81-E80</f>
        <v>3234.8951250000027</v>
      </c>
      <c r="F82" s="433">
        <f>F81-F80</f>
        <v>12226.034500000002</v>
      </c>
      <c r="G82" s="433">
        <f>G81-G80</f>
        <v>12226.034500000002</v>
      </c>
      <c r="H82" s="434">
        <f>H81-H80</f>
        <v>12226.034500000002</v>
      </c>
      <c r="I82" s="506" t="s">
        <v>22</v>
      </c>
      <c r="J82" s="435">
        <f>J81-J80</f>
        <v>40824.89375000002</v>
      </c>
    </row>
    <row r="83" spans="1:10" ht="16.5" thickBot="1">
      <c r="A83" s="420" t="s">
        <v>35</v>
      </c>
      <c r="B83" s="421"/>
      <c r="C83" s="421"/>
      <c r="D83" s="422">
        <f>D82/B18</f>
        <v>18.237902500000054</v>
      </c>
      <c r="E83" s="422">
        <f>E82/B51</f>
        <v>64.69790250000005</v>
      </c>
      <c r="F83" s="422">
        <f>F82/B73</f>
        <v>244.52069000000003</v>
      </c>
      <c r="G83" s="422">
        <f>G82/B73</f>
        <v>244.52069000000003</v>
      </c>
      <c r="H83" s="423">
        <f>H82/B73</f>
        <v>244.52069000000003</v>
      </c>
      <c r="I83" s="421"/>
      <c r="J83" s="419">
        <f>J82/B73</f>
        <v>816.4978750000004</v>
      </c>
    </row>
    <row r="84" spans="1:10" ht="15.75">
      <c r="A84" s="22"/>
      <c r="B84" s="22"/>
      <c r="C84" s="22"/>
      <c r="D84" s="22"/>
      <c r="E84" s="22"/>
      <c r="F84" s="22"/>
      <c r="G84" s="30"/>
      <c r="H84" s="30"/>
      <c r="I84" s="30"/>
      <c r="J84" s="30"/>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03" spans="7:9" ht="15.75">
      <c r="G103" s="7"/>
      <c r="H103" s="7"/>
      <c r="I103" s="7"/>
    </row>
    <row r="124" spans="5:10" ht="15.75">
      <c r="E124" s="25"/>
      <c r="F124" s="25"/>
      <c r="G124" s="25"/>
      <c r="H124" s="25"/>
      <c r="I124" s="25"/>
      <c r="J124" s="49"/>
    </row>
    <row r="141" spans="5:10" ht="15.75">
      <c r="E141" s="25"/>
      <c r="F141" s="25"/>
      <c r="G141" s="25"/>
      <c r="H141" s="25"/>
      <c r="I141" s="25"/>
      <c r="J141" s="49"/>
    </row>
    <row r="143" spans="5:10" ht="18.75">
      <c r="E143" s="28"/>
      <c r="F143" s="28"/>
      <c r="G143" s="28"/>
      <c r="H143" s="28"/>
      <c r="I143" s="28"/>
      <c r="J143" s="55"/>
    </row>
    <row r="157" spans="5:10" ht="15.75">
      <c r="E157" s="25"/>
      <c r="F157" s="25"/>
      <c r="G157" s="25"/>
      <c r="H157" s="25"/>
      <c r="I157" s="25"/>
      <c r="J157" s="49"/>
    </row>
    <row r="175" spans="5:10" ht="15.75">
      <c r="E175" s="25"/>
      <c r="F175" s="25"/>
      <c r="G175" s="25"/>
      <c r="H175" s="25"/>
      <c r="I175" s="25"/>
      <c r="J175" s="49"/>
    </row>
    <row r="177" spans="5:10" ht="18.75">
      <c r="E177" s="28"/>
      <c r="F177" s="28"/>
      <c r="G177" s="28"/>
      <c r="H177" s="28"/>
      <c r="I177" s="28"/>
      <c r="J177" s="55"/>
    </row>
    <row r="193" spans="5:10" ht="15.75">
      <c r="E193" s="25"/>
      <c r="F193" s="25"/>
      <c r="G193" s="25"/>
      <c r="H193" s="25"/>
      <c r="I193" s="25"/>
      <c r="J193" s="49"/>
    </row>
    <row r="195" spans="5:10" ht="18.75">
      <c r="E195" s="28"/>
      <c r="F195" s="28"/>
      <c r="G195" s="28"/>
      <c r="H195" s="28"/>
      <c r="I195" s="28"/>
      <c r="J195" s="55"/>
    </row>
    <row r="209" spans="5:10" ht="15.75">
      <c r="E209" s="25"/>
      <c r="F209" s="25"/>
      <c r="G209" s="25"/>
      <c r="H209" s="25"/>
      <c r="I209" s="25"/>
      <c r="J209" s="49"/>
    </row>
    <row r="211" spans="5:10" ht="18.75">
      <c r="E211" s="28"/>
      <c r="F211" s="28"/>
      <c r="G211" s="28"/>
      <c r="H211" s="28"/>
      <c r="I211" s="28"/>
      <c r="J211" s="55"/>
    </row>
    <row r="224" spans="5:10" ht="15.75">
      <c r="E224" s="25"/>
      <c r="F224" s="25"/>
      <c r="G224" s="25"/>
      <c r="H224" s="25"/>
      <c r="I224" s="25"/>
      <c r="J224" s="49"/>
    </row>
    <row r="227" spans="5:10" ht="18.75">
      <c r="E227" s="28"/>
      <c r="F227" s="28"/>
      <c r="G227" s="28"/>
      <c r="H227" s="28"/>
      <c r="I227" s="28"/>
      <c r="J227" s="55"/>
    </row>
    <row r="240" spans="5:10" ht="15.75">
      <c r="E240" s="25"/>
      <c r="F240" s="25"/>
      <c r="G240" s="25"/>
      <c r="H240" s="25"/>
      <c r="I240" s="25"/>
      <c r="J240" s="49"/>
    </row>
    <row r="241" spans="5:10" ht="15.75">
      <c r="E241" s="31"/>
      <c r="F241" s="31"/>
      <c r="G241" s="31"/>
      <c r="H241" s="31"/>
      <c r="I241" s="31"/>
      <c r="J241" s="72"/>
    </row>
  </sheetData>
  <sheetProtection password="9C73" sheet="1" selectLockedCells="1"/>
  <printOptions/>
  <pageMargins left="0.7" right="0.7" top="0.75" bottom="0.75" header="0.3" footer="0.3"/>
  <pageSetup horizontalDpi="600" verticalDpi="600" orientation="portrait" paperSize="9" scale="72" r:id="rId2"/>
  <headerFooter>
    <oddFooter>&amp;C&amp;8Reijo Käki 2008
ProAgria Kymenlaakso</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2010-10-31T16:15:07Z</cp:lastPrinted>
  <dcterms:created xsi:type="dcterms:W3CDTF">2008-11-30T11:59:48Z</dcterms:created>
  <dcterms:modified xsi:type="dcterms:W3CDTF">2014-02-21T10:34:40Z</dcterms:modified>
  <cp:category/>
  <cp:version/>
  <cp:contentType/>
  <cp:contentStatus/>
</cp:coreProperties>
</file>